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Шолохівська" sheetId="1" r:id="rId1"/>
  </sheets>
  <definedNames>
    <definedName name="_xlnm.Print_Area" localSheetId="0">'Шолохівська'!$A$7:$AD$55</definedName>
  </definedNames>
  <calcPr fullCalcOnLoad="1"/>
</workbook>
</file>

<file path=xl/sharedStrings.xml><?xml version="1.0" encoding="utf-8"?>
<sst xmlns="http://schemas.openxmlformats.org/spreadsheetml/2006/main" count="62" uniqueCount="60">
  <si>
    <t>ЗАТВЕРДЖЕНО</t>
  </si>
  <si>
    <t>Рішення виконавчого комітету</t>
  </si>
  <si>
    <t>Покровської міської ради</t>
  </si>
  <si>
    <t>10.01.2020 р. №5</t>
  </si>
  <si>
    <t xml:space="preserve">    </t>
  </si>
  <si>
    <t xml:space="preserve">       ШТАТНИЙ РОЗПИС на 01.01.2020 року</t>
  </si>
  <si>
    <t>Шолохівська  ЗОШ</t>
  </si>
  <si>
    <t>(назва установи)</t>
  </si>
  <si>
    <t>№п/п</t>
  </si>
  <si>
    <t>Назва структурного підрозділу та посад</t>
  </si>
  <si>
    <t>розряд</t>
  </si>
  <si>
    <t>Кількість  штатних   посад</t>
  </si>
  <si>
    <t>Поса-      довий     оклад         (грн.)</t>
  </si>
  <si>
    <t>підвищення 10%</t>
  </si>
  <si>
    <t>ФЗП в місяць (грн)</t>
  </si>
  <si>
    <t>Надбавки (грн.)</t>
  </si>
  <si>
    <t>Доплати (грн.)</t>
  </si>
  <si>
    <t>Фонд    заробітної     плати на    місяць          (грн.)</t>
  </si>
  <si>
    <t>Фонд заробітної плати на   2020 рік    (грн.)</t>
  </si>
  <si>
    <t>за ГПД (5%)</t>
  </si>
  <si>
    <t>надбавки постанова 373 КМУ (грн.)</t>
  </si>
  <si>
    <t xml:space="preserve">25%  водіям </t>
  </si>
  <si>
    <t>50% бібліотекарям</t>
  </si>
  <si>
    <t>Вислуга років</t>
  </si>
  <si>
    <t>Нічні</t>
  </si>
  <si>
    <t>доплата до мінім</t>
  </si>
  <si>
    <t>10%  за  прибирання туалетів та шкідливі умови праці</t>
  </si>
  <si>
    <t>керівн.гуртка</t>
  </si>
  <si>
    <t>перевірка зошитів</t>
  </si>
  <si>
    <t>за кабінети</t>
  </si>
  <si>
    <t>класне керівництвоза кабінети</t>
  </si>
  <si>
    <t xml:space="preserve">10% за бібл умови </t>
  </si>
  <si>
    <t>інші доплати</t>
  </si>
  <si>
    <t>книжковий фонд</t>
  </si>
  <si>
    <t xml:space="preserve">Директор </t>
  </si>
  <si>
    <t>Заст.дир.з навч.-вих (95%)</t>
  </si>
  <si>
    <t>16-5%</t>
  </si>
  <si>
    <t>Педагог-організат.</t>
  </si>
  <si>
    <t>Вакансия  Практич.психолог</t>
  </si>
  <si>
    <t>Керівник гуртка</t>
  </si>
  <si>
    <t>Вихователь ГПД</t>
  </si>
  <si>
    <t>Вчитель</t>
  </si>
  <si>
    <t>14</t>
  </si>
  <si>
    <t>Всього ЗП педагогів</t>
  </si>
  <si>
    <t>Завідувач бібліотеки</t>
  </si>
  <si>
    <t>Сестра медична</t>
  </si>
  <si>
    <t>Завідуючий господарством</t>
  </si>
  <si>
    <t>Секретар-друкарка</t>
  </si>
  <si>
    <t>Робітник з комплексного обсл-ня приміщення</t>
  </si>
  <si>
    <t>Сторож</t>
  </si>
  <si>
    <t>Прибиральник службових приміщень</t>
  </si>
  <si>
    <t>Кухар</t>
  </si>
  <si>
    <t>Підсобний робітник кухні</t>
  </si>
  <si>
    <t>Водій шкільного автобуса</t>
  </si>
  <si>
    <t>Оператор газової котельні</t>
  </si>
  <si>
    <t>Комірник</t>
  </si>
  <si>
    <t>Разом:</t>
  </si>
  <si>
    <t>Начальник управління освіти</t>
  </si>
  <si>
    <t>Г.А.Цупрова</t>
  </si>
  <si>
    <t>(підпис)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</si>
</sst>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%"/>
    <numFmt numFmtId="167" formatCode="0"/>
    <numFmt numFmtId="168" formatCode="#,##0.00"/>
    <numFmt numFmtId="169" formatCode="0.0"/>
    <numFmt numFmtId="170" formatCode="@"/>
  </numFmts>
  <fonts count="11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/>
    </xf>
    <xf numFmtId="164" fontId="7" fillId="0" borderId="3" xfId="0" applyFont="1" applyFill="1" applyBorder="1" applyAlignment="1">
      <alignment horizontal="center"/>
    </xf>
    <xf numFmtId="164" fontId="7" fillId="0" borderId="4" xfId="0" applyFont="1" applyFill="1" applyBorder="1" applyAlignment="1">
      <alignment vertical="center" wrapText="1"/>
    </xf>
    <xf numFmtId="164" fontId="7" fillId="0" borderId="5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horizontal="center" vertical="center" textRotation="90" wrapText="1"/>
    </xf>
    <xf numFmtId="164" fontId="7" fillId="0" borderId="3" xfId="0" applyFont="1" applyFill="1" applyBorder="1" applyAlignment="1">
      <alignment horizontal="center" vertical="center" textRotation="90"/>
    </xf>
    <xf numFmtId="164" fontId="7" fillId="0" borderId="4" xfId="0" applyFont="1" applyFill="1" applyBorder="1" applyAlignment="1">
      <alignment horizontal="center" vertical="center" textRotation="90" wrapText="1"/>
    </xf>
    <xf numFmtId="166" fontId="7" fillId="0" borderId="3" xfId="0" applyNumberFormat="1" applyFont="1" applyFill="1" applyBorder="1" applyAlignment="1">
      <alignment horizontal="center" vertical="center" textRotation="90"/>
    </xf>
    <xf numFmtId="164" fontId="8" fillId="0" borderId="3" xfId="0" applyFont="1" applyFill="1" applyBorder="1" applyAlignment="1">
      <alignment horizontal="center"/>
    </xf>
    <xf numFmtId="164" fontId="8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vertical="center"/>
    </xf>
    <xf numFmtId="164" fontId="8" fillId="0" borderId="3" xfId="0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 wrapText="1"/>
    </xf>
    <xf numFmtId="169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/>
    </xf>
    <xf numFmtId="164" fontId="7" fillId="0" borderId="5" xfId="0" applyFont="1" applyFill="1" applyBorder="1" applyAlignment="1">
      <alignment horizontal="center"/>
    </xf>
    <xf numFmtId="164" fontId="7" fillId="0" borderId="5" xfId="0" applyFont="1" applyFill="1" applyBorder="1" applyAlignment="1">
      <alignment/>
    </xf>
    <xf numFmtId="164" fontId="7" fillId="0" borderId="5" xfId="0" applyFont="1" applyFill="1" applyBorder="1" applyAlignment="1">
      <alignment horizontal="center" vertical="center"/>
    </xf>
    <xf numFmtId="170" fontId="7" fillId="0" borderId="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5" fontId="3" fillId="0" borderId="9" xfId="0" applyNumberFormat="1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4" xfId="0" applyFont="1" applyFill="1" applyBorder="1" applyAlignment="1">
      <alignment/>
    </xf>
    <xf numFmtId="164" fontId="8" fillId="0" borderId="4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/>
    </xf>
    <xf numFmtId="165" fontId="8" fillId="0" borderId="4" xfId="0" applyNumberFormat="1" applyFont="1" applyFill="1" applyBorder="1" applyAlignment="1">
      <alignment vertical="center"/>
    </xf>
    <xf numFmtId="164" fontId="1" fillId="0" borderId="0" xfId="0" applyFont="1" applyFill="1" applyAlignment="1">
      <alignment/>
    </xf>
    <xf numFmtId="168" fontId="8" fillId="0" borderId="3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vertical="center" wrapText="1"/>
    </xf>
    <xf numFmtId="164" fontId="8" fillId="0" borderId="6" xfId="0" applyFont="1" applyFill="1" applyBorder="1" applyAlignment="1">
      <alignment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vertical="center"/>
    </xf>
    <xf numFmtId="164" fontId="9" fillId="0" borderId="12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64" fontId="8" fillId="0" borderId="0" xfId="0" applyFont="1" applyFill="1" applyBorder="1" applyAlignment="1">
      <alignment horizontal="left"/>
    </xf>
    <xf numFmtId="164" fontId="8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58"/>
  <sheetViews>
    <sheetView tabSelected="1" zoomScale="68" zoomScaleNormal="68" workbookViewId="0" topLeftCell="A15">
      <selection activeCell="W9" sqref="W9"/>
    </sheetView>
  </sheetViews>
  <sheetFormatPr defaultColWidth="8.00390625" defaultRowHeight="12.75"/>
  <cols>
    <col min="1" max="1" width="5.00390625" style="1" customWidth="1"/>
    <col min="2" max="2" width="34.125" style="1" customWidth="1"/>
    <col min="3" max="3" width="7.375" style="1" hidden="1" customWidth="1"/>
    <col min="4" max="4" width="6.50390625" style="1" customWidth="1"/>
    <col min="5" max="5" width="9.375" style="1" customWidth="1"/>
    <col min="6" max="6" width="14.50390625" style="1" customWidth="1"/>
    <col min="7" max="7" width="11.125" style="1" customWidth="1"/>
    <col min="8" max="8" width="13.125" style="1" customWidth="1"/>
    <col min="9" max="9" width="4.875" style="1" hidden="1" customWidth="1"/>
    <col min="10" max="10" width="6.125" style="1" hidden="1" customWidth="1"/>
    <col min="11" max="11" width="4.875" style="1" hidden="1" customWidth="1"/>
    <col min="12" max="12" width="6.125" style="1" hidden="1" customWidth="1"/>
    <col min="13" max="13" width="8.50390625" style="1" customWidth="1"/>
    <col min="14" max="14" width="13.00390625" style="1" customWidth="1"/>
    <col min="15" max="15" width="12.375" style="1" customWidth="1"/>
    <col min="16" max="16" width="8.375" style="1" customWidth="1"/>
    <col min="17" max="17" width="11.625" style="1" customWidth="1"/>
    <col min="18" max="18" width="11.875" style="1" customWidth="1"/>
    <col min="19" max="19" width="10.875" style="1" customWidth="1"/>
    <col min="20" max="20" width="14.125" style="1" customWidth="1"/>
    <col min="21" max="21" width="11.00390625" style="1" customWidth="1"/>
    <col min="22" max="22" width="9.375" style="1" customWidth="1"/>
    <col min="23" max="23" width="10.875" style="1" customWidth="1"/>
    <col min="24" max="24" width="7.00390625" style="1" customWidth="1"/>
    <col min="25" max="25" width="12.125" style="1" customWidth="1"/>
    <col min="26" max="26" width="8.875" style="1" customWidth="1"/>
    <col min="27" max="27" width="11.50390625" style="1" customWidth="1"/>
    <col min="28" max="28" width="9.00390625" style="1" hidden="1" customWidth="1"/>
    <col min="29" max="29" width="16.50390625" style="1" customWidth="1"/>
    <col min="30" max="30" width="15.625" style="1" customWidth="1"/>
    <col min="31" max="16384" width="9.125" style="1" customWidth="1"/>
  </cols>
  <sheetData>
    <row r="6" spans="1:30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 t="s">
        <v>0</v>
      </c>
      <c r="X6" s="3"/>
      <c r="Y6" s="3"/>
      <c r="Z6" s="3"/>
      <c r="AA6" s="2"/>
      <c r="AB6" s="2"/>
      <c r="AC6" s="2"/>
      <c r="AD6" s="2"/>
    </row>
    <row r="7" spans="1:3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5" t="s">
        <v>1</v>
      </c>
      <c r="X7" s="5"/>
      <c r="Y7" s="5"/>
      <c r="Z7" s="5"/>
      <c r="AA7" s="6"/>
      <c r="AB7" s="4"/>
      <c r="AC7" s="4"/>
      <c r="AD7" s="2"/>
    </row>
    <row r="8" spans="1:30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S8" s="2"/>
      <c r="T8" s="2"/>
      <c r="U8" s="2"/>
      <c r="V8" s="2"/>
      <c r="W8" s="7" t="s">
        <v>2</v>
      </c>
      <c r="X8" s="7"/>
      <c r="Y8" s="7"/>
      <c r="Z8" s="7"/>
      <c r="AA8" s="8"/>
      <c r="AB8" s="9"/>
      <c r="AC8" s="9"/>
      <c r="AD8" s="6"/>
    </row>
    <row r="9" spans="1:30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 t="s">
        <v>3</v>
      </c>
      <c r="X9" s="10"/>
      <c r="Y9" s="10"/>
      <c r="Z9" s="10"/>
      <c r="AA9" s="10"/>
      <c r="AB9" s="10"/>
      <c r="AC9" s="10"/>
      <c r="AD9" s="10"/>
    </row>
    <row r="10" spans="1:30" ht="19.5" customHeight="1">
      <c r="A10" s="4"/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4"/>
      <c r="O10" s="4"/>
      <c r="P10" s="4"/>
      <c r="Q10" s="4"/>
      <c r="R10" s="13"/>
      <c r="S10" s="12"/>
      <c r="T10" s="2"/>
      <c r="U10" s="2"/>
      <c r="V10" s="2"/>
      <c r="W10" s="2"/>
      <c r="X10" s="10"/>
      <c r="Y10" s="10"/>
      <c r="Z10" s="10"/>
      <c r="AA10" s="10"/>
      <c r="AB10" s="4"/>
      <c r="AC10" s="4"/>
      <c r="AD10" s="4"/>
    </row>
    <row r="11" spans="1:30" ht="19.5" customHeight="1">
      <c r="A11" s="2"/>
      <c r="B11" s="2"/>
      <c r="C11" s="2"/>
      <c r="D11" s="2"/>
      <c r="E11" s="14" t="s">
        <v>4</v>
      </c>
      <c r="F11" s="14"/>
      <c r="G11" s="14"/>
      <c r="H11" s="14"/>
      <c r="I11" s="14"/>
      <c r="J11" s="14"/>
      <c r="K11" s="14"/>
      <c r="L11" s="14"/>
      <c r="M11" s="14"/>
      <c r="N11" s="2"/>
      <c r="O11" s="2"/>
      <c r="P11" s="2"/>
      <c r="Q11" s="14"/>
      <c r="R11" s="14"/>
      <c r="S11" s="14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9.5" customHeight="1">
      <c r="A12" s="2"/>
      <c r="B12" s="2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15" t="s">
        <v>5</v>
      </c>
      <c r="O12" s="16"/>
      <c r="P12" s="16"/>
      <c r="Q12" s="16"/>
      <c r="R12" s="16"/>
      <c r="S12" s="16"/>
      <c r="T12" s="16"/>
      <c r="U12" s="4"/>
      <c r="V12" s="4"/>
      <c r="W12" s="4"/>
      <c r="X12" s="2"/>
      <c r="Y12" s="2"/>
      <c r="Z12" s="2"/>
      <c r="AA12" s="2"/>
      <c r="AB12" s="2"/>
      <c r="AC12" s="2"/>
      <c r="AD12" s="2"/>
    </row>
    <row r="13" spans="1:30" ht="19.5" customHeight="1">
      <c r="A13" s="2"/>
      <c r="B13" s="2"/>
      <c r="C13" s="2"/>
      <c r="D13" s="2"/>
      <c r="E13" s="4"/>
      <c r="F13" s="4"/>
      <c r="G13" s="4"/>
      <c r="H13" s="4"/>
      <c r="I13" s="4"/>
      <c r="J13" s="4"/>
      <c r="K13" s="4"/>
      <c r="L13" s="4"/>
      <c r="M13" s="4"/>
      <c r="N13" s="16"/>
      <c r="O13" s="16"/>
      <c r="P13" s="16"/>
      <c r="Q13" s="16"/>
      <c r="R13" s="16"/>
      <c r="S13" s="16"/>
      <c r="T13" s="16"/>
      <c r="U13" s="4"/>
      <c r="V13" s="4"/>
      <c r="W13" s="4"/>
      <c r="X13" s="2"/>
      <c r="Y13" s="2"/>
      <c r="Z13" s="2"/>
      <c r="AA13" s="2"/>
      <c r="AB13" s="2"/>
      <c r="AC13" s="2"/>
      <c r="AD13" s="2"/>
    </row>
    <row r="14" spans="1:30" ht="19.5" customHeight="1">
      <c r="A14" s="2"/>
      <c r="B14" s="2"/>
      <c r="C14" s="2"/>
      <c r="D14" s="2"/>
      <c r="E14" s="17"/>
      <c r="F14" s="17"/>
      <c r="G14" s="17"/>
      <c r="H14" s="17"/>
      <c r="I14" s="17"/>
      <c r="J14" s="18" t="s">
        <v>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7"/>
      <c r="W14" s="17"/>
      <c r="X14" s="2"/>
      <c r="Y14" s="2"/>
      <c r="Z14" s="2"/>
      <c r="AA14" s="2"/>
      <c r="AB14" s="2"/>
      <c r="AC14" s="2"/>
      <c r="AD14" s="2"/>
    </row>
    <row r="15" spans="1:30" ht="19.5" customHeight="1">
      <c r="A15" s="2"/>
      <c r="B15" s="2"/>
      <c r="C15" s="2"/>
      <c r="D15" s="2"/>
      <c r="E15" s="4"/>
      <c r="F15" s="4"/>
      <c r="G15" s="4"/>
      <c r="H15" s="4"/>
      <c r="I15" s="4"/>
      <c r="J15" s="4"/>
      <c r="K15" s="4"/>
      <c r="L15" s="4"/>
      <c r="M15" s="4"/>
      <c r="N15" s="16"/>
      <c r="O15" s="19" t="s">
        <v>7</v>
      </c>
      <c r="P15" s="19"/>
      <c r="Q15" s="19"/>
      <c r="R15" s="19"/>
      <c r="S15" s="19"/>
      <c r="T15" s="16"/>
      <c r="U15" s="4"/>
      <c r="V15" s="4"/>
      <c r="W15" s="4"/>
      <c r="X15" s="2"/>
      <c r="Y15" s="2"/>
      <c r="Z15" s="2"/>
      <c r="AA15" s="2"/>
      <c r="AB15" s="2"/>
      <c r="AC15" s="2"/>
      <c r="AD15" s="2"/>
    </row>
    <row r="16" spans="1:30" ht="19.5" customHeight="1">
      <c r="A16" s="2"/>
      <c r="B16" s="2"/>
      <c r="C16" s="2"/>
      <c r="D16" s="2"/>
      <c r="E16" s="4"/>
      <c r="F16" s="4"/>
      <c r="G16" s="4"/>
      <c r="H16" s="4"/>
      <c r="I16" s="4"/>
      <c r="J16" s="4"/>
      <c r="K16" s="4"/>
      <c r="L16" s="4"/>
      <c r="M16" s="4"/>
      <c r="N16" s="16"/>
      <c r="O16" s="16"/>
      <c r="P16" s="16"/>
      <c r="Q16" s="16"/>
      <c r="R16" s="16"/>
      <c r="S16" s="16"/>
      <c r="T16" s="16"/>
      <c r="U16" s="4"/>
      <c r="V16" s="4"/>
      <c r="W16" s="4"/>
      <c r="X16" s="2"/>
      <c r="Y16" s="2"/>
      <c r="Z16" s="2"/>
      <c r="AA16" s="2"/>
      <c r="AB16" s="2"/>
      <c r="AC16" s="2"/>
      <c r="AD16" s="2"/>
    </row>
    <row r="17" spans="1:3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5.5" customHeight="1">
      <c r="A18" s="20" t="s">
        <v>8</v>
      </c>
      <c r="B18" s="20" t="s">
        <v>9</v>
      </c>
      <c r="C18" s="20"/>
      <c r="D18" s="20" t="s">
        <v>10</v>
      </c>
      <c r="E18" s="20" t="s">
        <v>11</v>
      </c>
      <c r="F18" s="20" t="s">
        <v>12</v>
      </c>
      <c r="G18" s="20" t="s">
        <v>13</v>
      </c>
      <c r="H18" s="20" t="s">
        <v>14</v>
      </c>
      <c r="I18" s="21"/>
      <c r="J18" s="22"/>
      <c r="K18" s="22"/>
      <c r="L18" s="22"/>
      <c r="M18" s="22"/>
      <c r="N18" s="20" t="s">
        <v>12</v>
      </c>
      <c r="O18" s="20" t="s">
        <v>15</v>
      </c>
      <c r="P18" s="20"/>
      <c r="Q18" s="20"/>
      <c r="R18" s="20"/>
      <c r="S18" s="22" t="s">
        <v>16</v>
      </c>
      <c r="T18" s="22"/>
      <c r="U18" s="22"/>
      <c r="V18" s="22"/>
      <c r="W18" s="22"/>
      <c r="X18" s="22"/>
      <c r="Y18" s="22"/>
      <c r="Z18" s="22"/>
      <c r="AA18" s="22"/>
      <c r="AB18" s="22"/>
      <c r="AC18" s="20" t="s">
        <v>17</v>
      </c>
      <c r="AD18" s="20" t="s">
        <v>18</v>
      </c>
    </row>
    <row r="19" spans="1:30" ht="105.75" customHeight="1">
      <c r="A19" s="20"/>
      <c r="B19" s="20"/>
      <c r="C19" s="20"/>
      <c r="D19" s="20"/>
      <c r="E19" s="20"/>
      <c r="F19" s="20"/>
      <c r="G19" s="20"/>
      <c r="H19" s="20"/>
      <c r="I19" s="23"/>
      <c r="J19" s="24"/>
      <c r="K19" s="23"/>
      <c r="L19" s="24"/>
      <c r="M19" s="24" t="s">
        <v>19</v>
      </c>
      <c r="N19" s="20"/>
      <c r="O19" s="25" t="s">
        <v>20</v>
      </c>
      <c r="P19" s="26" t="s">
        <v>21</v>
      </c>
      <c r="Q19" s="26" t="s">
        <v>22</v>
      </c>
      <c r="R19" s="27" t="s">
        <v>23</v>
      </c>
      <c r="S19" s="26" t="s">
        <v>24</v>
      </c>
      <c r="T19" s="26" t="s">
        <v>25</v>
      </c>
      <c r="U19" s="25" t="s">
        <v>26</v>
      </c>
      <c r="V19" s="25" t="s">
        <v>27</v>
      </c>
      <c r="W19" s="26" t="s">
        <v>28</v>
      </c>
      <c r="X19" s="26" t="s">
        <v>29</v>
      </c>
      <c r="Y19" s="26" t="s">
        <v>30</v>
      </c>
      <c r="Z19" s="28" t="s">
        <v>31</v>
      </c>
      <c r="AA19" s="26" t="s">
        <v>32</v>
      </c>
      <c r="AB19" s="26" t="s">
        <v>33</v>
      </c>
      <c r="AC19" s="20"/>
      <c r="AD19" s="20"/>
    </row>
    <row r="20" spans="1:30" ht="44.25" customHeight="1">
      <c r="A20" s="29">
        <v>1</v>
      </c>
      <c r="B20" s="30" t="s">
        <v>34</v>
      </c>
      <c r="C20" s="31"/>
      <c r="D20" s="32">
        <v>16</v>
      </c>
      <c r="E20" s="33">
        <v>1</v>
      </c>
      <c r="F20" s="33">
        <v>5865</v>
      </c>
      <c r="G20" s="33">
        <f aca="true" t="shared" si="0" ref="G20:G22">F20*10%</f>
        <v>586.5</v>
      </c>
      <c r="H20" s="33">
        <f aca="true" t="shared" si="1" ref="H20:H22">(F20+G20)*E20</f>
        <v>6451.5</v>
      </c>
      <c r="I20" s="33"/>
      <c r="J20" s="33"/>
      <c r="K20" s="31"/>
      <c r="L20" s="31"/>
      <c r="M20" s="31">
        <f aca="true" t="shared" si="2" ref="M20:M21">F20*5%</f>
        <v>293.25</v>
      </c>
      <c r="N20" s="33">
        <f aca="true" t="shared" si="3" ref="N20:N22">H20+J20+L20+M20</f>
        <v>6744.75</v>
      </c>
      <c r="O20" s="33">
        <f aca="true" t="shared" si="4" ref="O20:O28">N20*30%</f>
        <v>2023.425</v>
      </c>
      <c r="P20" s="33"/>
      <c r="Q20" s="31"/>
      <c r="R20" s="33">
        <f aca="true" t="shared" si="5" ref="R20:R21">N20*30%</f>
        <v>2023.425</v>
      </c>
      <c r="S20" s="34"/>
      <c r="T20" s="35"/>
      <c r="U20" s="35"/>
      <c r="V20" s="36"/>
      <c r="W20" s="35"/>
      <c r="X20" s="35"/>
      <c r="Y20" s="35"/>
      <c r="Z20" s="35"/>
      <c r="AA20" s="35"/>
      <c r="AB20" s="35"/>
      <c r="AC20" s="33">
        <f aca="true" t="shared" si="6" ref="AC20:AC22">H20+J20+L20+M20+O20+P20+Q20+R20+S20+T20+U20+V20+W20+X20+Y20+Z20+AA20+AB20</f>
        <v>10791.599999999999</v>
      </c>
      <c r="AD20" s="34">
        <f aca="true" t="shared" si="7" ref="AD20:AD31">AC20*12+N20+N20*10%</f>
        <v>136918.425</v>
      </c>
    </row>
    <row r="21" spans="1:30" ht="42" customHeight="1">
      <c r="A21" s="29">
        <v>2</v>
      </c>
      <c r="B21" s="30" t="s">
        <v>35</v>
      </c>
      <c r="C21" s="31"/>
      <c r="D21" s="32" t="s">
        <v>36</v>
      </c>
      <c r="E21" s="33">
        <v>1.5</v>
      </c>
      <c r="F21" s="33">
        <v>5571.75</v>
      </c>
      <c r="G21" s="33">
        <f t="shared" si="0"/>
        <v>557.1750000000001</v>
      </c>
      <c r="H21" s="33">
        <f t="shared" si="1"/>
        <v>9193.3875</v>
      </c>
      <c r="I21" s="33"/>
      <c r="J21" s="33"/>
      <c r="K21" s="31"/>
      <c r="L21" s="31"/>
      <c r="M21" s="31">
        <f t="shared" si="2"/>
        <v>278.58750000000003</v>
      </c>
      <c r="N21" s="33">
        <f t="shared" si="3"/>
        <v>9471.975</v>
      </c>
      <c r="O21" s="33">
        <f t="shared" si="4"/>
        <v>2841.5925</v>
      </c>
      <c r="P21" s="33"/>
      <c r="Q21" s="35"/>
      <c r="R21" s="33">
        <f t="shared" si="5"/>
        <v>2841.5925</v>
      </c>
      <c r="S21" s="34"/>
      <c r="T21" s="35"/>
      <c r="U21" s="35"/>
      <c r="V21" s="35"/>
      <c r="W21" s="35"/>
      <c r="X21" s="35"/>
      <c r="Y21" s="35"/>
      <c r="Z21" s="35"/>
      <c r="AA21" s="35"/>
      <c r="AB21" s="34"/>
      <c r="AC21" s="33">
        <f t="shared" si="6"/>
        <v>15155.160000000002</v>
      </c>
      <c r="AD21" s="34">
        <f t="shared" si="7"/>
        <v>192281.09250000003</v>
      </c>
    </row>
    <row r="22" spans="1:30" ht="42" customHeight="1" hidden="1">
      <c r="A22" s="29">
        <v>3</v>
      </c>
      <c r="B22" s="30"/>
      <c r="C22" s="31"/>
      <c r="D22" s="32">
        <v>0</v>
      </c>
      <c r="E22" s="33"/>
      <c r="F22" s="33">
        <v>5092</v>
      </c>
      <c r="G22" s="33">
        <f t="shared" si="0"/>
        <v>509.20000000000005</v>
      </c>
      <c r="H22" s="33">
        <f t="shared" si="1"/>
        <v>0</v>
      </c>
      <c r="I22" s="33"/>
      <c r="J22" s="33"/>
      <c r="K22" s="31"/>
      <c r="L22" s="31"/>
      <c r="M22" s="31"/>
      <c r="N22" s="33">
        <f t="shared" si="3"/>
        <v>0</v>
      </c>
      <c r="O22" s="33">
        <f t="shared" si="4"/>
        <v>0</v>
      </c>
      <c r="P22" s="33"/>
      <c r="Q22" s="35"/>
      <c r="R22" s="33">
        <f aca="true" t="shared" si="8" ref="R22:R24">N22*20%</f>
        <v>0</v>
      </c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3">
        <f t="shared" si="6"/>
        <v>0</v>
      </c>
      <c r="AD22" s="34">
        <f t="shared" si="7"/>
        <v>0</v>
      </c>
    </row>
    <row r="23" spans="1:30" ht="15" hidden="1">
      <c r="A23" s="29"/>
      <c r="B23" s="30"/>
      <c r="C23" s="31"/>
      <c r="D23" s="32"/>
      <c r="E23" s="37"/>
      <c r="F23" s="37"/>
      <c r="G23" s="37"/>
      <c r="H23" s="37"/>
      <c r="I23" s="37"/>
      <c r="J23" s="37"/>
      <c r="K23" s="29"/>
      <c r="L23" s="29"/>
      <c r="M23" s="29"/>
      <c r="N23" s="37"/>
      <c r="O23" s="33">
        <f t="shared" si="4"/>
        <v>0</v>
      </c>
      <c r="P23" s="37"/>
      <c r="Q23" s="30"/>
      <c r="R23" s="33">
        <f t="shared" si="8"/>
        <v>0</v>
      </c>
      <c r="S23" s="38"/>
      <c r="T23" s="30"/>
      <c r="U23" s="30"/>
      <c r="V23" s="30"/>
      <c r="W23" s="30"/>
      <c r="X23" s="30"/>
      <c r="Y23" s="30"/>
      <c r="Z23" s="30"/>
      <c r="AA23" s="30"/>
      <c r="AB23" s="30"/>
      <c r="AC23" s="37"/>
      <c r="AD23" s="34">
        <f t="shared" si="7"/>
        <v>0</v>
      </c>
    </row>
    <row r="24" spans="1:30" ht="19.5" customHeight="1">
      <c r="A24" s="29">
        <v>3</v>
      </c>
      <c r="B24" s="30" t="s">
        <v>37</v>
      </c>
      <c r="C24" s="31"/>
      <c r="D24" s="32">
        <v>13</v>
      </c>
      <c r="E24" s="33">
        <v>1</v>
      </c>
      <c r="F24" s="33">
        <v>4772</v>
      </c>
      <c r="G24" s="33">
        <f>(F24*E24)*10%</f>
        <v>477.20000000000005</v>
      </c>
      <c r="H24" s="33">
        <f>F24</f>
        <v>4772</v>
      </c>
      <c r="I24" s="33"/>
      <c r="J24" s="33"/>
      <c r="K24" s="39"/>
      <c r="L24" s="33"/>
      <c r="M24" s="39"/>
      <c r="N24" s="33">
        <f>F24+G24</f>
        <v>5249.2</v>
      </c>
      <c r="O24" s="33">
        <f t="shared" si="4"/>
        <v>1574.76</v>
      </c>
      <c r="P24" s="33"/>
      <c r="Q24" s="31"/>
      <c r="R24" s="33">
        <f t="shared" si="8"/>
        <v>1049.84</v>
      </c>
      <c r="S24" s="33"/>
      <c r="T24" s="31"/>
      <c r="U24" s="31"/>
      <c r="V24" s="31"/>
      <c r="W24" s="31"/>
      <c r="X24" s="31"/>
      <c r="Y24" s="31"/>
      <c r="Z24" s="31"/>
      <c r="AA24" s="31"/>
      <c r="AB24" s="31"/>
      <c r="AC24" s="33">
        <f aca="true" t="shared" si="9" ref="AC24:AC25">N24+O24+R24</f>
        <v>7873.8</v>
      </c>
      <c r="AD24" s="34">
        <f t="shared" si="7"/>
        <v>100259.72</v>
      </c>
    </row>
    <row r="25" spans="1:30" ht="19.5" customHeight="1">
      <c r="A25" s="29">
        <v>5</v>
      </c>
      <c r="B25" s="30" t="s">
        <v>38</v>
      </c>
      <c r="C25" s="31"/>
      <c r="D25" s="32">
        <v>11</v>
      </c>
      <c r="E25" s="40">
        <v>0.75</v>
      </c>
      <c r="F25" s="33">
        <v>4141</v>
      </c>
      <c r="G25" s="33">
        <f>H25*10%</f>
        <v>310.57500000000005</v>
      </c>
      <c r="H25" s="33">
        <f aca="true" t="shared" si="10" ref="H25:H26">F25*E25</f>
        <v>3105.75</v>
      </c>
      <c r="I25" s="33"/>
      <c r="J25" s="33"/>
      <c r="K25" s="31"/>
      <c r="L25" s="31"/>
      <c r="M25" s="31"/>
      <c r="N25" s="33">
        <f aca="true" t="shared" si="11" ref="N25:N26">H25+G25</f>
        <v>3416.325</v>
      </c>
      <c r="O25" s="33">
        <f t="shared" si="4"/>
        <v>1024.8974999999998</v>
      </c>
      <c r="P25" s="33"/>
      <c r="Q25" s="31"/>
      <c r="R25" s="33">
        <f>N25*10%</f>
        <v>341.6325</v>
      </c>
      <c r="S25" s="33"/>
      <c r="T25" s="31"/>
      <c r="U25" s="31"/>
      <c r="V25" s="31"/>
      <c r="W25" s="31"/>
      <c r="X25" s="31"/>
      <c r="Y25" s="31"/>
      <c r="Z25" s="31"/>
      <c r="AA25" s="31"/>
      <c r="AB25" s="31"/>
      <c r="AC25" s="33">
        <f t="shared" si="9"/>
        <v>4782.855</v>
      </c>
      <c r="AD25" s="34">
        <f t="shared" si="7"/>
        <v>61152.21749999999</v>
      </c>
    </row>
    <row r="26" spans="1:30" ht="19.5" customHeight="1">
      <c r="A26" s="29">
        <v>6</v>
      </c>
      <c r="B26" s="30" t="s">
        <v>39</v>
      </c>
      <c r="C26" s="31"/>
      <c r="D26" s="32">
        <v>12</v>
      </c>
      <c r="E26" s="39">
        <v>1</v>
      </c>
      <c r="F26" s="33">
        <v>4456</v>
      </c>
      <c r="G26" s="33">
        <f>(F26*E26)*10%</f>
        <v>445.6</v>
      </c>
      <c r="H26" s="33">
        <f t="shared" si="10"/>
        <v>4456</v>
      </c>
      <c r="I26" s="33"/>
      <c r="J26" s="33"/>
      <c r="K26" s="39"/>
      <c r="L26" s="39"/>
      <c r="M26" s="39"/>
      <c r="N26" s="33">
        <f t="shared" si="11"/>
        <v>4901.6</v>
      </c>
      <c r="O26" s="33">
        <f t="shared" si="4"/>
        <v>1470.48</v>
      </c>
      <c r="P26" s="33"/>
      <c r="Q26" s="31"/>
      <c r="R26" s="33">
        <f>N26*20%</f>
        <v>980.3200000000002</v>
      </c>
      <c r="S26" s="33"/>
      <c r="T26" s="31"/>
      <c r="U26" s="31"/>
      <c r="V26" s="31"/>
      <c r="W26" s="31"/>
      <c r="X26" s="31"/>
      <c r="Y26" s="31"/>
      <c r="Z26" s="31"/>
      <c r="AA26" s="33"/>
      <c r="AB26" s="31"/>
      <c r="AC26" s="33">
        <f>N26+O26+R26+0.01</f>
        <v>7352.41</v>
      </c>
      <c r="AD26" s="34">
        <f t="shared" si="7"/>
        <v>93620.68000000001</v>
      </c>
    </row>
    <row r="27" spans="1:30" ht="19.5" customHeight="1">
      <c r="A27" s="29">
        <v>7</v>
      </c>
      <c r="B27" s="30" t="s">
        <v>40</v>
      </c>
      <c r="C27" s="31"/>
      <c r="D27" s="32">
        <v>12</v>
      </c>
      <c r="E27" s="41">
        <v>1</v>
      </c>
      <c r="F27" s="33">
        <v>4456</v>
      </c>
      <c r="G27" s="33">
        <f aca="true" t="shared" si="12" ref="G27:G28">F27*10%</f>
        <v>445.6</v>
      </c>
      <c r="H27" s="33">
        <f>(F27+G27)*E27</f>
        <v>4901.6</v>
      </c>
      <c r="I27" s="33"/>
      <c r="J27" s="33"/>
      <c r="K27" s="33"/>
      <c r="L27" s="33"/>
      <c r="M27" s="33"/>
      <c r="N27" s="33">
        <f>H27</f>
        <v>4901.6</v>
      </c>
      <c r="O27" s="33">
        <f t="shared" si="4"/>
        <v>1470.48</v>
      </c>
      <c r="P27" s="33"/>
      <c r="Q27" s="31"/>
      <c r="R27" s="33">
        <f>H27*30%</f>
        <v>1470.48</v>
      </c>
      <c r="S27" s="33"/>
      <c r="T27" s="31"/>
      <c r="U27" s="31"/>
      <c r="V27" s="31"/>
      <c r="W27" s="31"/>
      <c r="X27" s="31"/>
      <c r="Y27" s="31"/>
      <c r="Z27" s="31"/>
      <c r="AA27" s="31"/>
      <c r="AB27" s="31"/>
      <c r="AC27" s="33">
        <f aca="true" t="shared" si="13" ref="AC27:AC28">N27+O27+R27</f>
        <v>7842.5599999999995</v>
      </c>
      <c r="AD27" s="34">
        <f t="shared" si="7"/>
        <v>99502.48000000001</v>
      </c>
    </row>
    <row r="28" spans="1:30" ht="19.5" customHeight="1">
      <c r="A28" s="29">
        <v>8</v>
      </c>
      <c r="B28" s="30" t="s">
        <v>40</v>
      </c>
      <c r="C28" s="31"/>
      <c r="D28" s="32">
        <v>11</v>
      </c>
      <c r="E28" s="41">
        <v>3</v>
      </c>
      <c r="F28" s="33">
        <v>4141</v>
      </c>
      <c r="G28" s="33">
        <f t="shared" si="12"/>
        <v>414.1</v>
      </c>
      <c r="H28" s="33">
        <f>G28+F28</f>
        <v>4555.1</v>
      </c>
      <c r="I28" s="33"/>
      <c r="J28" s="33"/>
      <c r="K28" s="33"/>
      <c r="L28" s="33"/>
      <c r="M28" s="33"/>
      <c r="N28" s="33">
        <f>H28*3</f>
        <v>13665.300000000001</v>
      </c>
      <c r="O28" s="33">
        <f t="shared" si="4"/>
        <v>4099.59</v>
      </c>
      <c r="P28" s="33"/>
      <c r="Q28" s="31"/>
      <c r="R28" s="33">
        <f>O28-832.48</f>
        <v>3267.11</v>
      </c>
      <c r="S28" s="33"/>
      <c r="T28" s="31"/>
      <c r="U28" s="31"/>
      <c r="V28" s="31"/>
      <c r="W28" s="31"/>
      <c r="X28" s="31"/>
      <c r="Y28" s="31"/>
      <c r="Z28" s="31"/>
      <c r="AA28" s="31"/>
      <c r="AB28" s="31"/>
      <c r="AC28" s="33">
        <f t="shared" si="13"/>
        <v>21032</v>
      </c>
      <c r="AD28" s="34">
        <f t="shared" si="7"/>
        <v>267415.83</v>
      </c>
    </row>
    <row r="29" spans="1:30" ht="19.5" customHeight="1" hidden="1">
      <c r="A29" s="29"/>
      <c r="B29" s="42"/>
      <c r="C29" s="31"/>
      <c r="D29" s="32"/>
      <c r="E29" s="33"/>
      <c r="F29" s="33"/>
      <c r="G29" s="33"/>
      <c r="H29" s="33"/>
      <c r="I29" s="33"/>
      <c r="J29" s="33"/>
      <c r="K29" s="39"/>
      <c r="L29" s="33"/>
      <c r="M29" s="39"/>
      <c r="N29" s="33"/>
      <c r="O29" s="33"/>
      <c r="P29" s="33"/>
      <c r="Q29" s="31"/>
      <c r="R29" s="33"/>
      <c r="S29" s="33"/>
      <c r="T29" s="31"/>
      <c r="U29" s="31"/>
      <c r="V29" s="31"/>
      <c r="W29" s="31"/>
      <c r="X29" s="31"/>
      <c r="Y29" s="31"/>
      <c r="Z29" s="31"/>
      <c r="AA29" s="31"/>
      <c r="AB29" s="31"/>
      <c r="AC29" s="33"/>
      <c r="AD29" s="34">
        <f t="shared" si="7"/>
        <v>0</v>
      </c>
    </row>
    <row r="30" spans="1:30" ht="13.5" customHeight="1" hidden="1">
      <c r="A30" s="22"/>
      <c r="B30" s="21"/>
      <c r="C30" s="21"/>
      <c r="D30" s="21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21"/>
      <c r="R30" s="45"/>
      <c r="S30" s="45"/>
      <c r="T30" s="21"/>
      <c r="U30" s="21"/>
      <c r="V30" s="21"/>
      <c r="W30" s="21"/>
      <c r="X30" s="21"/>
      <c r="Y30" s="21"/>
      <c r="Z30" s="21"/>
      <c r="AA30" s="21"/>
      <c r="AB30" s="21"/>
      <c r="AC30" s="44"/>
      <c r="AD30" s="34">
        <f t="shared" si="7"/>
        <v>0</v>
      </c>
    </row>
    <row r="31" spans="1:30" ht="19.5" customHeight="1">
      <c r="A31" s="46">
        <v>9</v>
      </c>
      <c r="B31" s="47" t="s">
        <v>41</v>
      </c>
      <c r="C31" s="48"/>
      <c r="D31" s="49" t="s">
        <v>42</v>
      </c>
      <c r="E31" s="50">
        <v>32.56</v>
      </c>
      <c r="F31" s="51">
        <v>5087</v>
      </c>
      <c r="G31" s="51">
        <f>F31*10%</f>
        <v>508.70000000000005</v>
      </c>
      <c r="H31" s="51">
        <f>(176715.17-W31)*1.094</f>
        <v>175452.57188372003</v>
      </c>
      <c r="I31" s="51"/>
      <c r="J31" s="51"/>
      <c r="K31" s="51"/>
      <c r="L31" s="51"/>
      <c r="M31" s="51"/>
      <c r="N31" s="51">
        <f>H31</f>
        <v>175452.57188372003</v>
      </c>
      <c r="O31" s="51">
        <f>48534.33*1.094</f>
        <v>53096.55702000001</v>
      </c>
      <c r="P31" s="51"/>
      <c r="Q31" s="47"/>
      <c r="R31" s="52">
        <f>33973.3*1.094</f>
        <v>37166.7902</v>
      </c>
      <c r="S31" s="52"/>
      <c r="T31" s="47"/>
      <c r="U31" s="47"/>
      <c r="V31" s="47">
        <f>581.13*1.094</f>
        <v>635.7562200000001</v>
      </c>
      <c r="W31" s="47">
        <f>14934.23*1.094</f>
        <v>16338.047620000001</v>
      </c>
      <c r="X31" s="52"/>
      <c r="Y31" s="51">
        <f>17863.01*1.094</f>
        <v>19542.13294</v>
      </c>
      <c r="Z31" s="51"/>
      <c r="AA31" s="51">
        <f>448.03*1.094</f>
        <v>490.14482</v>
      </c>
      <c r="AB31" s="52"/>
      <c r="AC31" s="51">
        <f>AA31+Y31+W31+V31+R31+O31+N31</f>
        <v>302722.00070372</v>
      </c>
      <c r="AD31" s="34">
        <f t="shared" si="7"/>
        <v>3825661.837516732</v>
      </c>
    </row>
    <row r="32" spans="1:30" ht="19.5" customHeight="1">
      <c r="A32" s="53"/>
      <c r="B32" s="54" t="s">
        <v>43</v>
      </c>
      <c r="C32" s="54"/>
      <c r="D32" s="55"/>
      <c r="E32" s="56">
        <f>SUM(E20:E31)</f>
        <v>41.81</v>
      </c>
      <c r="F32" s="56"/>
      <c r="G32" s="56">
        <f>SUM(G20:G31)</f>
        <v>4254.65</v>
      </c>
      <c r="H32" s="56">
        <f>SUM(H20:H31)</f>
        <v>212887.90938372002</v>
      </c>
      <c r="I32" s="56">
        <f>SUM(I20:I31)</f>
        <v>0</v>
      </c>
      <c r="J32" s="56">
        <f>SUM(J20:J31)</f>
        <v>0</v>
      </c>
      <c r="K32" s="56">
        <f>SUM(K20:K31)</f>
        <v>0</v>
      </c>
      <c r="L32" s="56">
        <f>SUM(L20:L31)</f>
        <v>0</v>
      </c>
      <c r="M32" s="56">
        <f>SUM(M20:M31)</f>
        <v>571.8375000000001</v>
      </c>
      <c r="N32" s="56">
        <f>SUM(N20:N31)</f>
        <v>223803.32188372003</v>
      </c>
      <c r="O32" s="56">
        <f>SUM(O20:O31)</f>
        <v>67601.78202000001</v>
      </c>
      <c r="P32" s="56">
        <f>SUM(P20:P31)</f>
        <v>0</v>
      </c>
      <c r="Q32" s="56">
        <f>SUM(Q20:Q31)</f>
        <v>0</v>
      </c>
      <c r="R32" s="56">
        <f>SUM(R20:R31)</f>
        <v>49141.190200000005</v>
      </c>
      <c r="S32" s="56">
        <f>SUM(S20:S31)</f>
        <v>0</v>
      </c>
      <c r="T32" s="56">
        <f>SUM(T20:T31)</f>
        <v>0</v>
      </c>
      <c r="U32" s="56">
        <f>SUM(U20:U31)</f>
        <v>0</v>
      </c>
      <c r="V32" s="56">
        <f>SUM(V20:V31)</f>
        <v>635.7562200000001</v>
      </c>
      <c r="W32" s="56">
        <f>SUM(W20:W31)</f>
        <v>16338.047620000001</v>
      </c>
      <c r="X32" s="56">
        <f>SUM(X20:X31)</f>
        <v>0</v>
      </c>
      <c r="Y32" s="56">
        <f>SUM(Y20:Y31)</f>
        <v>19542.13294</v>
      </c>
      <c r="Z32" s="56">
        <f>SUM(Z20:Z31)</f>
        <v>0</v>
      </c>
      <c r="AA32" s="56">
        <f>SUM(AA20:AA31)</f>
        <v>490.14482</v>
      </c>
      <c r="AB32" s="56">
        <f>SUM(AB20:AB31)</f>
        <v>0</v>
      </c>
      <c r="AC32" s="56">
        <f>SUM(AC20:AC31)</f>
        <v>377552.38570372004</v>
      </c>
      <c r="AD32" s="56">
        <f>SUM(AD20:AD31)</f>
        <v>4776812.282516732</v>
      </c>
    </row>
    <row r="33" spans="1:30" s="66" customFormat="1" ht="19.5" customHeight="1">
      <c r="A33" s="57">
        <v>10</v>
      </c>
      <c r="B33" s="58" t="s">
        <v>44</v>
      </c>
      <c r="C33" s="59"/>
      <c r="D33" s="60">
        <v>9</v>
      </c>
      <c r="E33" s="61">
        <v>1</v>
      </c>
      <c r="F33" s="62">
        <v>3636</v>
      </c>
      <c r="G33" s="63">
        <v>0</v>
      </c>
      <c r="H33" s="62">
        <f>(F33+G33)</f>
        <v>3636</v>
      </c>
      <c r="I33" s="57"/>
      <c r="J33" s="57"/>
      <c r="K33" s="57"/>
      <c r="L33" s="57"/>
      <c r="M33" s="57"/>
      <c r="N33" s="62">
        <f aca="true" t="shared" si="14" ref="N33:N46">H33+J33+L33+M33</f>
        <v>3636</v>
      </c>
      <c r="O33" s="62"/>
      <c r="P33" s="62"/>
      <c r="Q33" s="58">
        <f>N33*50%</f>
        <v>1818</v>
      </c>
      <c r="R33" s="64">
        <f>N33*20%</f>
        <v>727.2</v>
      </c>
      <c r="S33" s="64"/>
      <c r="T33" s="58"/>
      <c r="U33" s="58"/>
      <c r="V33" s="58">
        <f>332.3*1.094</f>
        <v>363.53620000000006</v>
      </c>
      <c r="W33" s="58"/>
      <c r="X33" s="62"/>
      <c r="Y33" s="62"/>
      <c r="Z33" s="58"/>
      <c r="AA33" s="58"/>
      <c r="AB33" s="58"/>
      <c r="AC33" s="62">
        <f>AB33+V33+R33+Q33+N33</f>
        <v>6544.7362</v>
      </c>
      <c r="AD33" s="65">
        <f aca="true" t="shared" si="15" ref="AD33:AD43">(AC33*12)+N33</f>
        <v>82172.8344</v>
      </c>
    </row>
    <row r="34" spans="1:30" s="66" customFormat="1" ht="19.5" customHeight="1">
      <c r="A34" s="29">
        <v>11</v>
      </c>
      <c r="B34" s="30" t="s">
        <v>45</v>
      </c>
      <c r="C34" s="31"/>
      <c r="D34" s="32">
        <v>9</v>
      </c>
      <c r="E34" s="33">
        <v>1</v>
      </c>
      <c r="F34" s="37">
        <v>3636</v>
      </c>
      <c r="G34" s="67">
        <v>0</v>
      </c>
      <c r="H34" s="37">
        <f aca="true" t="shared" si="16" ref="H34:H45">(F34+G34)*E34</f>
        <v>3636</v>
      </c>
      <c r="I34" s="68"/>
      <c r="J34" s="68"/>
      <c r="K34" s="68"/>
      <c r="L34" s="68"/>
      <c r="M34" s="68"/>
      <c r="N34" s="37">
        <f t="shared" si="14"/>
        <v>3636</v>
      </c>
      <c r="O34" s="37"/>
      <c r="P34" s="37"/>
      <c r="Q34" s="30"/>
      <c r="R34" s="38">
        <f>H34*20%</f>
        <v>727.2</v>
      </c>
      <c r="S34" s="37"/>
      <c r="T34" s="37"/>
      <c r="U34" s="38"/>
      <c r="V34" s="30"/>
      <c r="W34" s="30"/>
      <c r="X34" s="37"/>
      <c r="Y34" s="30"/>
      <c r="Z34" s="38"/>
      <c r="AA34" s="30"/>
      <c r="AB34" s="30"/>
      <c r="AC34" s="37">
        <f>H34+J34+L34+M34+O34+P34+Q34+R34+S34+T34+U34+V34+W34+X34+Y34+Z34+AA34+AB34</f>
        <v>4363.2</v>
      </c>
      <c r="AD34" s="65">
        <f t="shared" si="15"/>
        <v>55994.399999999994</v>
      </c>
    </row>
    <row r="35" spans="1:30" s="66" customFormat="1" ht="18.75" customHeight="1">
      <c r="A35" s="29"/>
      <c r="B35" s="69"/>
      <c r="C35" s="69"/>
      <c r="D35" s="70"/>
      <c r="E35" s="33"/>
      <c r="F35" s="37"/>
      <c r="G35" s="68"/>
      <c r="H35" s="37">
        <f t="shared" si="16"/>
        <v>0</v>
      </c>
      <c r="I35" s="68"/>
      <c r="J35" s="68"/>
      <c r="K35" s="68"/>
      <c r="L35" s="68"/>
      <c r="M35" s="68"/>
      <c r="N35" s="37">
        <f t="shared" si="14"/>
        <v>0</v>
      </c>
      <c r="O35" s="37"/>
      <c r="P35" s="37"/>
      <c r="Q35" s="30"/>
      <c r="R35" s="30"/>
      <c r="S35" s="37"/>
      <c r="T35" s="37"/>
      <c r="U35" s="30"/>
      <c r="V35" s="30"/>
      <c r="W35" s="30"/>
      <c r="X35" s="37"/>
      <c r="Y35" s="30"/>
      <c r="Z35" s="30"/>
      <c r="AA35" s="30"/>
      <c r="AB35" s="30"/>
      <c r="AC35" s="37"/>
      <c r="AD35" s="65">
        <f t="shared" si="15"/>
        <v>0</v>
      </c>
    </row>
    <row r="36" spans="1:30" s="66" customFormat="1" ht="33.75" customHeight="1">
      <c r="A36" s="29">
        <v>12</v>
      </c>
      <c r="B36" s="69" t="s">
        <v>46</v>
      </c>
      <c r="C36" s="71"/>
      <c r="D36" s="72">
        <v>8</v>
      </c>
      <c r="E36" s="39">
        <v>1</v>
      </c>
      <c r="F36" s="37">
        <v>3447</v>
      </c>
      <c r="G36" s="68"/>
      <c r="H36" s="37">
        <f t="shared" si="16"/>
        <v>3447</v>
      </c>
      <c r="I36" s="68"/>
      <c r="J36" s="68"/>
      <c r="K36" s="68"/>
      <c r="L36" s="68"/>
      <c r="M36" s="68"/>
      <c r="N36" s="37">
        <f t="shared" si="14"/>
        <v>3447</v>
      </c>
      <c r="O36" s="37"/>
      <c r="P36" s="37"/>
      <c r="Q36" s="30"/>
      <c r="R36" s="30"/>
      <c r="S36" s="30"/>
      <c r="T36" s="38">
        <f>4723-H36</f>
        <v>1276</v>
      </c>
      <c r="U36" s="30"/>
      <c r="V36" s="30"/>
      <c r="W36" s="30"/>
      <c r="X36" s="30"/>
      <c r="Y36" s="30"/>
      <c r="Z36" s="30"/>
      <c r="AA36" s="30"/>
      <c r="AB36" s="30"/>
      <c r="AC36" s="37">
        <f aca="true" t="shared" si="17" ref="AC36:AC45">H36+J36+L36+M36+O36+P36+Q36+R36+S36+T36+U36+V36+W36+X36+Y36+Z36+AA36+AB36</f>
        <v>4723</v>
      </c>
      <c r="AD36" s="65">
        <f t="shared" si="15"/>
        <v>60123</v>
      </c>
    </row>
    <row r="37" spans="1:30" s="66" customFormat="1" ht="25.5" customHeight="1">
      <c r="A37" s="29">
        <v>13</v>
      </c>
      <c r="B37" s="30" t="s">
        <v>47</v>
      </c>
      <c r="C37" s="31"/>
      <c r="D37" s="32">
        <v>5</v>
      </c>
      <c r="E37" s="33">
        <v>0.5</v>
      </c>
      <c r="F37" s="37">
        <v>2859</v>
      </c>
      <c r="G37" s="68"/>
      <c r="H37" s="37">
        <f t="shared" si="16"/>
        <v>1429.5</v>
      </c>
      <c r="I37" s="68"/>
      <c r="J37" s="68"/>
      <c r="K37" s="68"/>
      <c r="L37" s="68"/>
      <c r="M37" s="68"/>
      <c r="N37" s="37">
        <f t="shared" si="14"/>
        <v>1429.5</v>
      </c>
      <c r="O37" s="37"/>
      <c r="P37" s="37"/>
      <c r="Q37" s="30"/>
      <c r="R37" s="30"/>
      <c r="S37" s="30"/>
      <c r="T37" s="38">
        <f aca="true" t="shared" si="18" ref="T37:T38">4723*E37-H37</f>
        <v>932</v>
      </c>
      <c r="U37" s="29"/>
      <c r="V37" s="29"/>
      <c r="W37" s="30"/>
      <c r="X37" s="30"/>
      <c r="Y37" s="29"/>
      <c r="Z37" s="30"/>
      <c r="AA37" s="30"/>
      <c r="AB37" s="30"/>
      <c r="AC37" s="37">
        <f t="shared" si="17"/>
        <v>2361.5</v>
      </c>
      <c r="AD37" s="65">
        <f t="shared" si="15"/>
        <v>29767.5</v>
      </c>
    </row>
    <row r="38" spans="1:30" s="66" customFormat="1" ht="30.75" customHeight="1">
      <c r="A38" s="29">
        <v>14</v>
      </c>
      <c r="B38" s="69" t="s">
        <v>48</v>
      </c>
      <c r="C38" s="71"/>
      <c r="D38" s="72">
        <v>4</v>
      </c>
      <c r="E38" s="39">
        <v>1</v>
      </c>
      <c r="F38" s="37">
        <v>2670</v>
      </c>
      <c r="G38" s="68"/>
      <c r="H38" s="37">
        <f t="shared" si="16"/>
        <v>2670</v>
      </c>
      <c r="I38" s="68"/>
      <c r="J38" s="68"/>
      <c r="K38" s="68"/>
      <c r="L38" s="68"/>
      <c r="M38" s="68"/>
      <c r="N38" s="37">
        <f t="shared" si="14"/>
        <v>2670</v>
      </c>
      <c r="O38" s="37"/>
      <c r="P38" s="37"/>
      <c r="Q38" s="30"/>
      <c r="R38" s="30"/>
      <c r="S38" s="30"/>
      <c r="T38" s="38">
        <f t="shared" si="18"/>
        <v>2053</v>
      </c>
      <c r="U38" s="30"/>
      <c r="V38" s="30"/>
      <c r="W38" s="30"/>
      <c r="X38" s="30"/>
      <c r="Y38" s="30"/>
      <c r="Z38" s="30"/>
      <c r="AA38" s="30"/>
      <c r="AB38" s="30"/>
      <c r="AC38" s="37">
        <f t="shared" si="17"/>
        <v>4723</v>
      </c>
      <c r="AD38" s="65">
        <f t="shared" si="15"/>
        <v>59346</v>
      </c>
    </row>
    <row r="39" spans="1:30" s="66" customFormat="1" ht="19.5" customHeight="1">
      <c r="A39" s="29">
        <v>15</v>
      </c>
      <c r="B39" s="30" t="s">
        <v>49</v>
      </c>
      <c r="C39" s="31"/>
      <c r="D39" s="32">
        <v>2</v>
      </c>
      <c r="E39" s="41">
        <v>6</v>
      </c>
      <c r="F39" s="37">
        <v>2291</v>
      </c>
      <c r="G39" s="68"/>
      <c r="H39" s="37">
        <f t="shared" si="16"/>
        <v>13746</v>
      </c>
      <c r="I39" s="68"/>
      <c r="J39" s="68"/>
      <c r="K39" s="68"/>
      <c r="L39" s="68"/>
      <c r="M39" s="68"/>
      <c r="N39" s="37">
        <f t="shared" si="14"/>
        <v>13746</v>
      </c>
      <c r="O39" s="37"/>
      <c r="P39" s="37"/>
      <c r="Q39" s="30"/>
      <c r="R39" s="30"/>
      <c r="S39" s="37">
        <f>N39*40%</f>
        <v>5498.400000000001</v>
      </c>
      <c r="T39" s="38">
        <f aca="true" t="shared" si="19" ref="T39:T42">(4723-F39)*E39</f>
        <v>14592</v>
      </c>
      <c r="U39" s="30"/>
      <c r="V39" s="30"/>
      <c r="W39" s="29"/>
      <c r="X39" s="30"/>
      <c r="Y39" s="30"/>
      <c r="Z39" s="29"/>
      <c r="AA39" s="29"/>
      <c r="AB39" s="30"/>
      <c r="AC39" s="37">
        <f t="shared" si="17"/>
        <v>33836.4</v>
      </c>
      <c r="AD39" s="65">
        <f t="shared" si="15"/>
        <v>419782.80000000005</v>
      </c>
    </row>
    <row r="40" spans="1:30" s="66" customFormat="1" ht="30.75" customHeight="1">
      <c r="A40" s="29">
        <v>16</v>
      </c>
      <c r="B40" s="69" t="s">
        <v>50</v>
      </c>
      <c r="C40" s="71"/>
      <c r="D40" s="72">
        <v>2</v>
      </c>
      <c r="E40" s="39">
        <v>8</v>
      </c>
      <c r="F40" s="37">
        <v>2291</v>
      </c>
      <c r="G40" s="68"/>
      <c r="H40" s="37">
        <f t="shared" si="16"/>
        <v>18328</v>
      </c>
      <c r="I40" s="68"/>
      <c r="J40" s="68"/>
      <c r="K40" s="68"/>
      <c r="L40" s="68"/>
      <c r="M40" s="68"/>
      <c r="N40" s="37">
        <f t="shared" si="14"/>
        <v>18328</v>
      </c>
      <c r="O40" s="37"/>
      <c r="P40" s="37"/>
      <c r="Q40" s="30"/>
      <c r="R40" s="30"/>
      <c r="S40" s="30"/>
      <c r="T40" s="38">
        <f t="shared" si="19"/>
        <v>19456</v>
      </c>
      <c r="U40" s="38">
        <f>N40*10%</f>
        <v>1832.8000000000002</v>
      </c>
      <c r="V40" s="30"/>
      <c r="W40" s="37"/>
      <c r="X40" s="30"/>
      <c r="Y40" s="30"/>
      <c r="Z40" s="37"/>
      <c r="AA40" s="37"/>
      <c r="AB40" s="30"/>
      <c r="AC40" s="37">
        <f t="shared" si="17"/>
        <v>39616.8</v>
      </c>
      <c r="AD40" s="65">
        <f t="shared" si="15"/>
        <v>493729.60000000003</v>
      </c>
    </row>
    <row r="41" spans="1:30" s="66" customFormat="1" ht="19.5" customHeight="1">
      <c r="A41" s="29">
        <v>17</v>
      </c>
      <c r="B41" s="30" t="s">
        <v>51</v>
      </c>
      <c r="C41" s="33"/>
      <c r="D41" s="32">
        <v>5</v>
      </c>
      <c r="E41" s="33">
        <v>1.25</v>
      </c>
      <c r="F41" s="37">
        <v>2859</v>
      </c>
      <c r="G41" s="68"/>
      <c r="H41" s="37">
        <f t="shared" si="16"/>
        <v>3573.75</v>
      </c>
      <c r="I41" s="68"/>
      <c r="J41" s="68"/>
      <c r="K41" s="68"/>
      <c r="L41" s="68"/>
      <c r="M41" s="68"/>
      <c r="N41" s="37">
        <f t="shared" si="14"/>
        <v>3573.75</v>
      </c>
      <c r="O41" s="37"/>
      <c r="P41" s="37"/>
      <c r="Q41" s="30"/>
      <c r="R41" s="30"/>
      <c r="S41" s="37"/>
      <c r="T41" s="38">
        <f t="shared" si="19"/>
        <v>2330</v>
      </c>
      <c r="U41" s="30"/>
      <c r="V41" s="30"/>
      <c r="W41" s="30"/>
      <c r="X41" s="37"/>
      <c r="Y41" s="30"/>
      <c r="Z41" s="30"/>
      <c r="AA41" s="30"/>
      <c r="AB41" s="30"/>
      <c r="AC41" s="37">
        <f t="shared" si="17"/>
        <v>5903.75</v>
      </c>
      <c r="AD41" s="65">
        <f t="shared" si="15"/>
        <v>74418.75</v>
      </c>
    </row>
    <row r="42" spans="1:30" s="66" customFormat="1" ht="19.5" customHeight="1">
      <c r="A42" s="29">
        <v>18</v>
      </c>
      <c r="B42" s="30" t="s">
        <v>52</v>
      </c>
      <c r="C42" s="31"/>
      <c r="D42" s="32">
        <v>1</v>
      </c>
      <c r="E42" s="39">
        <v>1</v>
      </c>
      <c r="F42" s="37">
        <v>2102</v>
      </c>
      <c r="G42" s="68"/>
      <c r="H42" s="37">
        <f t="shared" si="16"/>
        <v>2102</v>
      </c>
      <c r="I42" s="68"/>
      <c r="J42" s="68"/>
      <c r="K42" s="68"/>
      <c r="L42" s="68"/>
      <c r="M42" s="68"/>
      <c r="N42" s="37">
        <f t="shared" si="14"/>
        <v>2102</v>
      </c>
      <c r="O42" s="37"/>
      <c r="P42" s="37"/>
      <c r="Q42" s="30"/>
      <c r="R42" s="29"/>
      <c r="S42" s="37"/>
      <c r="T42" s="38">
        <f t="shared" si="19"/>
        <v>2621</v>
      </c>
      <c r="U42" s="30"/>
      <c r="V42" s="30"/>
      <c r="W42" s="30"/>
      <c r="X42" s="37"/>
      <c r="Y42" s="30"/>
      <c r="Z42" s="30"/>
      <c r="AA42" s="30"/>
      <c r="AB42" s="37"/>
      <c r="AC42" s="37">
        <f t="shared" si="17"/>
        <v>4723</v>
      </c>
      <c r="AD42" s="65">
        <f t="shared" si="15"/>
        <v>58778</v>
      </c>
    </row>
    <row r="43" spans="1:30" s="66" customFormat="1" ht="19.5" customHeight="1">
      <c r="A43" s="29">
        <v>19</v>
      </c>
      <c r="B43" s="30" t="s">
        <v>53</v>
      </c>
      <c r="C43" s="31"/>
      <c r="D43" s="32">
        <v>2</v>
      </c>
      <c r="E43" s="39">
        <v>1</v>
      </c>
      <c r="F43" s="37">
        <v>2291</v>
      </c>
      <c r="G43" s="68"/>
      <c r="H43" s="37">
        <f t="shared" si="16"/>
        <v>2291</v>
      </c>
      <c r="I43" s="68"/>
      <c r="J43" s="68"/>
      <c r="K43" s="68"/>
      <c r="L43" s="68"/>
      <c r="M43" s="68"/>
      <c r="N43" s="37">
        <f t="shared" si="14"/>
        <v>2291</v>
      </c>
      <c r="O43" s="37"/>
      <c r="P43" s="37">
        <f>N43*25%</f>
        <v>572.75</v>
      </c>
      <c r="Q43" s="30"/>
      <c r="R43" s="29"/>
      <c r="S43" s="37"/>
      <c r="T43" s="38">
        <f>(4723-H43-P43)*E43</f>
        <v>1859.25</v>
      </c>
      <c r="U43" s="30"/>
      <c r="V43" s="30"/>
      <c r="W43" s="30"/>
      <c r="X43" s="37"/>
      <c r="Y43" s="30"/>
      <c r="Z43" s="30"/>
      <c r="AA43" s="30"/>
      <c r="AB43" s="37"/>
      <c r="AC43" s="37">
        <f t="shared" si="17"/>
        <v>4723</v>
      </c>
      <c r="AD43" s="65">
        <f t="shared" si="15"/>
        <v>58967</v>
      </c>
    </row>
    <row r="44" spans="1:30" s="66" customFormat="1" ht="19.5" customHeight="1">
      <c r="A44" s="29">
        <v>20</v>
      </c>
      <c r="B44" s="30" t="s">
        <v>54</v>
      </c>
      <c r="C44" s="31"/>
      <c r="D44" s="32">
        <v>2</v>
      </c>
      <c r="E44" s="39">
        <v>2</v>
      </c>
      <c r="F44" s="37">
        <v>2291</v>
      </c>
      <c r="G44" s="68"/>
      <c r="H44" s="37">
        <f t="shared" si="16"/>
        <v>4582</v>
      </c>
      <c r="I44" s="68"/>
      <c r="J44" s="68"/>
      <c r="K44" s="68"/>
      <c r="L44" s="68"/>
      <c r="M44" s="68"/>
      <c r="N44" s="37">
        <f t="shared" si="14"/>
        <v>4582</v>
      </c>
      <c r="O44" s="37"/>
      <c r="P44" s="37"/>
      <c r="Q44" s="30"/>
      <c r="R44" s="29"/>
      <c r="S44" s="37">
        <f>N44*40%</f>
        <v>1832.8000000000002</v>
      </c>
      <c r="T44" s="38">
        <f aca="true" t="shared" si="20" ref="T44:T45">(4723-F44)*E44</f>
        <v>4864</v>
      </c>
      <c r="U44" s="30"/>
      <c r="V44" s="30"/>
      <c r="W44" s="30"/>
      <c r="X44" s="37"/>
      <c r="Y44" s="30"/>
      <c r="Z44" s="30"/>
      <c r="AA44" s="30"/>
      <c r="AB44" s="37"/>
      <c r="AC44" s="37">
        <f t="shared" si="17"/>
        <v>11278.8</v>
      </c>
      <c r="AD44" s="65">
        <f>(AC44*6)+N44</f>
        <v>72254.79999999999</v>
      </c>
    </row>
    <row r="45" spans="1:30" s="66" customFormat="1" ht="19.5" customHeight="1">
      <c r="A45" s="29">
        <v>21</v>
      </c>
      <c r="B45" s="30" t="s">
        <v>55</v>
      </c>
      <c r="C45" s="31"/>
      <c r="D45" s="32">
        <v>1</v>
      </c>
      <c r="E45" s="39">
        <v>1</v>
      </c>
      <c r="F45" s="37">
        <v>2102</v>
      </c>
      <c r="G45" s="68"/>
      <c r="H45" s="37">
        <f t="shared" si="16"/>
        <v>2102</v>
      </c>
      <c r="I45" s="68"/>
      <c r="J45" s="68"/>
      <c r="K45" s="68"/>
      <c r="L45" s="68"/>
      <c r="M45" s="68"/>
      <c r="N45" s="37">
        <f t="shared" si="14"/>
        <v>2102</v>
      </c>
      <c r="O45" s="37"/>
      <c r="P45" s="37"/>
      <c r="Q45" s="30"/>
      <c r="R45" s="29"/>
      <c r="S45" s="37"/>
      <c r="T45" s="38">
        <f t="shared" si="20"/>
        <v>2621</v>
      </c>
      <c r="U45" s="30"/>
      <c r="V45" s="30"/>
      <c r="W45" s="30"/>
      <c r="X45" s="37"/>
      <c r="Y45" s="30"/>
      <c r="Z45" s="30"/>
      <c r="AA45" s="30"/>
      <c r="AB45" s="37"/>
      <c r="AC45" s="37">
        <f t="shared" si="17"/>
        <v>4723</v>
      </c>
      <c r="AD45" s="65">
        <f>(AC45*12)+N45</f>
        <v>58778</v>
      </c>
    </row>
    <row r="46" spans="1:30" s="66" customFormat="1" ht="19.5" customHeight="1">
      <c r="A46" s="29"/>
      <c r="B46" s="30"/>
      <c r="C46" s="35"/>
      <c r="D46" s="73"/>
      <c r="E46" s="41"/>
      <c r="F46" s="37"/>
      <c r="G46" s="37"/>
      <c r="H46" s="37"/>
      <c r="I46" s="37"/>
      <c r="J46" s="37"/>
      <c r="K46" s="37"/>
      <c r="L46" s="37"/>
      <c r="M46" s="37"/>
      <c r="N46" s="37">
        <f t="shared" si="14"/>
        <v>0</v>
      </c>
      <c r="O46" s="37"/>
      <c r="P46" s="37"/>
      <c r="Q46" s="30"/>
      <c r="R46" s="30"/>
      <c r="S46" s="37"/>
      <c r="T46" s="37"/>
      <c r="U46" s="30"/>
      <c r="V46" s="30"/>
      <c r="W46" s="30"/>
      <c r="X46" s="37"/>
      <c r="Y46" s="30"/>
      <c r="Z46" s="30"/>
      <c r="AA46" s="30"/>
      <c r="AB46" s="30"/>
      <c r="AC46" s="37"/>
      <c r="AD46" s="38"/>
    </row>
    <row r="47" spans="1:30" s="78" customFormat="1" ht="19.5" customHeight="1">
      <c r="A47" s="30"/>
      <c r="B47" s="74" t="s">
        <v>56</v>
      </c>
      <c r="C47" s="75"/>
      <c r="D47" s="76"/>
      <c r="E47" s="77">
        <f>E32+E33+E34+E36+E37+E38+E39+E40+E41+E42+E43+E44+E45</f>
        <v>66.56</v>
      </c>
      <c r="F47" s="77">
        <f>F32+F33+F34+F36+F37+F38+F39+F40+F41+F42+F43+F44+F45</f>
        <v>32475</v>
      </c>
      <c r="G47" s="77">
        <f>G32+G33+G34+G36+G37+G38+G39+G40+G41+G42+G43+G44+G45</f>
        <v>4254.65</v>
      </c>
      <c r="H47" s="77">
        <f>H32+H33+H34+H36+H37+H38+H39+H40+H41+H42+H43+H44+H45</f>
        <v>274431.15938372</v>
      </c>
      <c r="I47" s="77">
        <f>I32+I33+I34+I36+I37+I38+I39+I40+I41+I42+I43+I44+I45</f>
        <v>0</v>
      </c>
      <c r="J47" s="77">
        <f>J32+J33+J34+J36+J37+J38+J39+J40+J41+J42+J43+J44+J45</f>
        <v>0</v>
      </c>
      <c r="K47" s="77">
        <f>K32+K33+K34+K36+K37+K38+K39+K40+K41+K42+K43+K44+K45</f>
        <v>0</v>
      </c>
      <c r="L47" s="77">
        <f>L32+L33+L34+L36+L37+L38+L39+L40+L41+L42+L43+L44+L45</f>
        <v>0</v>
      </c>
      <c r="M47" s="77">
        <f>M32+M33+M34+M36+M37+M38+M39+M40+M41+M42+M43+M44+M45</f>
        <v>571.8375000000001</v>
      </c>
      <c r="N47" s="77">
        <f>N32+N33+N34+N36+N37+N38+N39+N40+N41+N42+N43+N44+N45</f>
        <v>285346.57188372</v>
      </c>
      <c r="O47" s="77">
        <f>O32+O33+O34+O36+O37+O38+O39+O40+O41+O42+O43+O44+O45</f>
        <v>67601.78202000001</v>
      </c>
      <c r="P47" s="77">
        <f>P32+P33+P34+P36+P37+P38+P39+P40+P41+P42+P43+P44+P45</f>
        <v>572.75</v>
      </c>
      <c r="Q47" s="77">
        <f>Q32+Q33+Q34+Q36+Q37+Q38+Q39+Q40+Q41+Q42+Q43+Q44+Q45</f>
        <v>1818</v>
      </c>
      <c r="R47" s="77">
        <f>R32+R33+R34+R36+R37+R38+R39+R40+R41+R42+R43+R44+R45</f>
        <v>50595.5902</v>
      </c>
      <c r="S47" s="77">
        <f>S32+S33+S34+S36+S37+S38+S39+S40+S41+S42+S43+S44+S45</f>
        <v>7331.200000000001</v>
      </c>
      <c r="T47" s="77">
        <f>T32+T33+T34+T36+T37+T38+T39+T40+T41+T42+T43+T44+T45</f>
        <v>52604.25</v>
      </c>
      <c r="U47" s="77">
        <f>U32+U33+U34+U36+U37+U38+U39+U40+U41+U42+U43+U44+U45</f>
        <v>1832.8000000000002</v>
      </c>
      <c r="V47" s="77">
        <f>V32+V33+V34+V36+V37+V38+V39+V40+V41+V42+V43+V44+V45</f>
        <v>999.2924200000002</v>
      </c>
      <c r="W47" s="77">
        <f>W32+W33+W34+W36+W37+W38+W39+W40+W41+W42+W43+W44+W45</f>
        <v>16338.047620000001</v>
      </c>
      <c r="X47" s="77">
        <f>X32+X33+X34+X36+X37+X38+X39+X40+X41+X42+X43+X44+X45</f>
        <v>0</v>
      </c>
      <c r="Y47" s="77">
        <f>Y32+Y33+Y34+Y36+Y37+Y38+Y39+Y40+Y41+Y42+Y43+Y44+Y45</f>
        <v>19542.13294</v>
      </c>
      <c r="Z47" s="77">
        <f>Z32+Z33+Z34+Z36+Z37+Z38+Z39+Z40+Z41+Z42+Z43+Z44+Z45</f>
        <v>0</v>
      </c>
      <c r="AA47" s="77">
        <f>AA32+AA33+AA34+AA36+AA37+AA38+AA39+AA40+AA41+AA42+AA43+AA44+AA45</f>
        <v>490.14482</v>
      </c>
      <c r="AB47" s="77">
        <f>AB32+AB33+AB34+AB36+AB37+AB38+AB39+AB40+AB41+AB42+AB43+AB44+AB45</f>
        <v>0</v>
      </c>
      <c r="AC47" s="77">
        <f>AC32+AC33+AC34+AC36+AC37+AC38+AC39+AC40+AC41+AC42+AC43+AC44+AC45</f>
        <v>505072.57190372003</v>
      </c>
      <c r="AD47" s="77">
        <f>AD32+AD33+AD34+AD36+AD37+AD38+AD39+AD40+AD41+AD42+AD43+AD44+AD45</f>
        <v>6300924.966916732</v>
      </c>
    </row>
    <row r="48" spans="1:30" s="66" customFormat="1" ht="37.5" customHeight="1">
      <c r="A48" s="79"/>
      <c r="B48" s="80"/>
      <c r="C48" s="80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81"/>
      <c r="P48" s="81"/>
      <c r="Q48" s="81"/>
      <c r="R48" s="82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2"/>
      <c r="AD48" s="83"/>
    </row>
    <row r="49" spans="1:30" s="66" customFormat="1" ht="19.5" customHeight="1">
      <c r="A49" s="79"/>
      <c r="B49" s="84" t="s">
        <v>57</v>
      </c>
      <c r="C49" s="84"/>
      <c r="D49" s="84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1"/>
      <c r="P49" s="81"/>
      <c r="Q49" s="81"/>
      <c r="R49" s="82"/>
      <c r="S49" s="81"/>
      <c r="T49" s="81"/>
      <c r="U49" s="81"/>
      <c r="V49" s="81"/>
      <c r="W49" s="81"/>
      <c r="X49" s="81"/>
      <c r="Y49" s="81"/>
      <c r="Z49" s="81"/>
      <c r="AA49" s="81" t="s">
        <v>58</v>
      </c>
      <c r="AB49" s="81"/>
      <c r="AC49" s="81"/>
      <c r="AD49" s="83"/>
    </row>
    <row r="50" spans="1:30" s="66" customFormat="1" ht="19.5" customHeight="1">
      <c r="A50" s="79"/>
      <c r="B50" s="84"/>
      <c r="C50" s="84"/>
      <c r="D50" s="84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5" t="s">
        <v>59</v>
      </c>
      <c r="U50" s="85"/>
      <c r="V50" s="85"/>
      <c r="W50" s="81"/>
      <c r="X50" s="86"/>
      <c r="Y50" s="86"/>
      <c r="Z50" s="86"/>
      <c r="AA50" s="86"/>
      <c r="AB50" s="81"/>
      <c r="AC50" s="81"/>
      <c r="AD50" s="82"/>
    </row>
    <row r="51" spans="1:30" s="66" customFormat="1" ht="19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6"/>
      <c r="Y51" s="86"/>
      <c r="Z51" s="86"/>
      <c r="AA51" s="86"/>
      <c r="AB51" s="82"/>
      <c r="AC51" s="81"/>
      <c r="AD51" s="82"/>
    </row>
    <row r="52" spans="1:30" s="66" customFormat="1" ht="19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82"/>
      <c r="O52" s="78"/>
      <c r="P52" s="78"/>
      <c r="Q52" s="78"/>
      <c r="R52" s="82"/>
      <c r="S52" s="78"/>
      <c r="T52" s="78"/>
      <c r="U52" s="78"/>
      <c r="V52" s="78"/>
      <c r="W52" s="78"/>
      <c r="X52" s="86"/>
      <c r="Y52" s="86"/>
      <c r="Z52" s="86"/>
      <c r="AA52" s="86"/>
      <c r="AB52" s="86"/>
      <c r="AC52" s="86"/>
      <c r="AD52" s="86"/>
    </row>
    <row r="53" spans="1:30" s="66" customFormat="1" ht="19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82"/>
      <c r="O53" s="82"/>
      <c r="P53" s="82"/>
      <c r="Q53" s="82"/>
      <c r="R53" s="82"/>
      <c r="S53" s="78"/>
      <c r="T53" s="78"/>
      <c r="U53" s="78"/>
      <c r="V53" s="78"/>
      <c r="W53" s="78"/>
      <c r="X53" s="86"/>
      <c r="Y53" s="86"/>
      <c r="Z53" s="86"/>
      <c r="AA53" s="86"/>
      <c r="AB53" s="78"/>
      <c r="AC53" s="86"/>
      <c r="AD53" s="86"/>
    </row>
    <row r="54" spans="1:30" s="66" customFormat="1" ht="19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2"/>
      <c r="O54" s="82"/>
      <c r="P54" s="82"/>
      <c r="Q54" s="78"/>
      <c r="R54" s="82"/>
      <c r="S54" s="78"/>
      <c r="T54" s="78"/>
      <c r="U54" s="78"/>
      <c r="V54" s="78"/>
      <c r="W54" s="82"/>
      <c r="X54" s="78"/>
      <c r="Y54" s="78"/>
      <c r="Z54" s="78"/>
      <c r="AA54" s="78"/>
      <c r="AB54" s="78"/>
      <c r="AC54" s="78"/>
      <c r="AD54" s="78"/>
    </row>
    <row r="55" spans="1:30" s="66" customFormat="1" ht="19.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8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</row>
    <row r="56" spans="1:30" s="66" customFormat="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</row>
    <row r="57" spans="1:30" s="66" customFormat="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s="66" customFormat="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="66" customFormat="1" ht="12.75"/>
  </sheetData>
  <sheetProtection selectLockedCells="1" selectUnlockedCells="1"/>
  <mergeCells count="29">
    <mergeCell ref="W7:Z7"/>
    <mergeCell ref="AB8:AC8"/>
    <mergeCell ref="X9:Z9"/>
    <mergeCell ref="AC9:AD9"/>
    <mergeCell ref="X10:Z10"/>
    <mergeCell ref="J14:U14"/>
    <mergeCell ref="O15:R15"/>
    <mergeCell ref="A18:A19"/>
    <mergeCell ref="B18:B19"/>
    <mergeCell ref="C18:C19"/>
    <mergeCell ref="D18:D19"/>
    <mergeCell ref="E18:E19"/>
    <mergeCell ref="F18:F19"/>
    <mergeCell ref="G18:G19"/>
    <mergeCell ref="H18:H19"/>
    <mergeCell ref="J18:M18"/>
    <mergeCell ref="N18:N19"/>
    <mergeCell ref="O18:R18"/>
    <mergeCell ref="S18:AB18"/>
    <mergeCell ref="AC18:AC19"/>
    <mergeCell ref="AD18:AD19"/>
    <mergeCell ref="AA49:AC49"/>
    <mergeCell ref="T50:V50"/>
    <mergeCell ref="X50:Z50"/>
    <mergeCell ref="X51:Z51"/>
    <mergeCell ref="X52:Z52"/>
    <mergeCell ref="AA52:AD52"/>
    <mergeCell ref="X53:Z53"/>
    <mergeCell ref="AC53:AD53"/>
  </mergeCells>
  <printOptions horizontalCentered="1"/>
  <pageMargins left="0.15763888888888888" right="0" top="0.15763888888888888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2020-01-10T07:06:34Z</cp:lastPrinted>
  <dcterms:created xsi:type="dcterms:W3CDTF">2005-03-15T13:55:27Z</dcterms:created>
  <dcterms:modified xsi:type="dcterms:W3CDTF">2020-01-21T13:06:52Z</dcterms:modified>
  <cp:category/>
  <cp:version/>
  <cp:contentType/>
  <cp:contentStatus/>
  <cp:revision>1</cp:revision>
</cp:coreProperties>
</file>