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етодкабіне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<sst xmlns="http://schemas.openxmlformats.org/spreadsheetml/2006/main" count="282" uniqueCount="151">
  <si>
    <t>ЗАТВЕРДЖЕНО</t>
  </si>
  <si>
    <t>Рішення виконавчого комітету</t>
  </si>
  <si>
    <t>Покровської міської ради</t>
  </si>
  <si>
    <t>18.12.2020р.        №516</t>
  </si>
  <si>
    <t>Штатний розпис  з 01.01.2021 року</t>
  </si>
  <si>
    <t xml:space="preserve"> штатних одиниць</t>
  </si>
  <si>
    <t>Методичного кабінету управління освіти Покровської міської ради м.Покров</t>
  </si>
  <si>
    <t xml:space="preserve"> місячний фонд</t>
  </si>
  <si>
    <t>(назва установи,організації)</t>
  </si>
  <si>
    <t>грн.</t>
  </si>
  <si>
    <t>додаткові види оплати</t>
  </si>
  <si>
    <t>№</t>
  </si>
  <si>
    <t>Назва структурного</t>
  </si>
  <si>
    <t>кільк</t>
  </si>
  <si>
    <t>посадовий оклад,   грн.</t>
  </si>
  <si>
    <t>тариф ний роз  ряд</t>
  </si>
  <si>
    <t>ЗП по окладам</t>
  </si>
  <si>
    <t>Підвищення по  Постанові  № 695 від 10.07.2019</t>
  </si>
  <si>
    <t>надбавки</t>
  </si>
  <si>
    <t>Надбавка за складність та напрудженість- 50%</t>
  </si>
  <si>
    <t>Премія</t>
  </si>
  <si>
    <t>ФНЗ</t>
  </si>
  <si>
    <t>ФЗП</t>
  </si>
  <si>
    <t>підрозділу та посада</t>
  </si>
  <si>
    <t>штат</t>
  </si>
  <si>
    <t>за роб.в ІМЦ-10%</t>
  </si>
  <si>
    <t>вислуга</t>
  </si>
  <si>
    <t>престижність -10%</t>
  </si>
  <si>
    <t>на</t>
  </si>
  <si>
    <t>посад</t>
  </si>
  <si>
    <t>місяць</t>
  </si>
  <si>
    <t>рік</t>
  </si>
  <si>
    <t xml:space="preserve">Методист </t>
  </si>
  <si>
    <t>12тар.розряд</t>
  </si>
  <si>
    <t>Оператор комп"ютерного набору</t>
  </si>
  <si>
    <t>Методист психологічної служби</t>
  </si>
  <si>
    <t>з.пл по тариф</t>
  </si>
  <si>
    <t>ВСЬОГО</t>
  </si>
  <si>
    <t>з.пл по штат</t>
  </si>
  <si>
    <t>Начальник управління освіти</t>
  </si>
  <si>
    <t>Г.А.Цупрова</t>
  </si>
  <si>
    <t>до рішення виконкому №</t>
  </si>
  <si>
    <t>Штатний розпис</t>
  </si>
  <si>
    <t>з 01,09.2012року.</t>
  </si>
  <si>
    <t>штат у кількості  1,5 штатних одиниць</t>
  </si>
  <si>
    <t>Психолого-медико-педагогічна консультація</t>
  </si>
  <si>
    <t>з місячним фондом заробітної плати 4574,54грн.</t>
  </si>
  <si>
    <t>назва структурного</t>
  </si>
  <si>
    <t>посадовий оклад,грн.</t>
  </si>
  <si>
    <t>доплати</t>
  </si>
  <si>
    <t>Надбавка педагогам за престижність(постанова № 373)-20%</t>
  </si>
  <si>
    <t>Завідувач</t>
  </si>
  <si>
    <t>13тар.розряд</t>
  </si>
  <si>
    <t>Консультант</t>
  </si>
  <si>
    <t>Всього</t>
  </si>
  <si>
    <t>Керуючий справами виконкому                                   В.Д.Сергієнко</t>
  </si>
  <si>
    <t>Виконавець: Г.П.Рубаха 4-20-41</t>
  </si>
  <si>
    <t>Наказ УО №              від                     згідно  рішення виконкому     № 342  від 23.08.2017р.</t>
  </si>
  <si>
    <t>штат у кількості 25,5 штатних одиниць</t>
  </si>
  <si>
    <t>з місячним фондом заробітної плати 109512,54 грн.</t>
  </si>
  <si>
    <t>Штатний розпис на 2017-2018 навчальний рік з 01.11.2017р.</t>
  </si>
  <si>
    <t>Господарча група</t>
  </si>
  <si>
    <t>премія</t>
  </si>
  <si>
    <t>ФЗП з урахуванням мін. ЗП .3200</t>
  </si>
  <si>
    <t>класн.</t>
  </si>
  <si>
    <t>за використання в роботі дез.засобів(10%)</t>
  </si>
  <si>
    <t>за роботу в нічний час</t>
  </si>
  <si>
    <t>Головний спеціаліст</t>
  </si>
  <si>
    <t>Ст.інженер</t>
  </si>
  <si>
    <t>Інженер-будівельник</t>
  </si>
  <si>
    <t>Провідний спеціаліст</t>
  </si>
  <si>
    <t>Спеціаліст</t>
  </si>
  <si>
    <t>Секретар-друкарка</t>
  </si>
  <si>
    <t>Водій автотранспортних засобів</t>
  </si>
  <si>
    <t>Сторож</t>
  </si>
  <si>
    <t>с</t>
  </si>
  <si>
    <t>моп</t>
  </si>
  <si>
    <t>Завідувач господарством</t>
  </si>
  <si>
    <t>Прибиральник служб.приміщень</t>
  </si>
  <si>
    <t>Робітник з комплекс.обслуговування та ремонту будівель</t>
  </si>
  <si>
    <t>Програміст</t>
  </si>
  <si>
    <t>Технік по обслуговуванню холодильного обладнання</t>
  </si>
  <si>
    <t xml:space="preserve">         Г.П.Рубаха</t>
  </si>
  <si>
    <t>В.о.головного бухгалтера                                                                                       О.С.Йовик</t>
  </si>
  <si>
    <t>Челнокова І.І.  43152</t>
  </si>
  <si>
    <t>Додаток№28</t>
  </si>
  <si>
    <t>з 01.09.2012року.</t>
  </si>
  <si>
    <t>штат у кількості  5,75 штатних одиниць</t>
  </si>
  <si>
    <t>Навчально-виробничий  центр професійної підготовки молоді у комунальному закладі СЗШ №4</t>
  </si>
  <si>
    <t>з місячним фондом заробітної плати  10794,78 грн.</t>
  </si>
  <si>
    <t>Заступник директора з навч.-виховн частини</t>
  </si>
  <si>
    <t>95% від окладу дир.СЗШ№4</t>
  </si>
  <si>
    <t>Майстер вироб.навчання</t>
  </si>
  <si>
    <t>9тар.розряд</t>
  </si>
  <si>
    <t>2тар.розряд</t>
  </si>
  <si>
    <t>Прибиральник службов.приміщень</t>
  </si>
  <si>
    <t>Додаток № 21</t>
  </si>
  <si>
    <t>до рішення виконкому  №__</t>
  </si>
  <si>
    <t>В(з)СШ</t>
  </si>
  <si>
    <t>від _____   __________  2007р</t>
  </si>
  <si>
    <t>оклад</t>
  </si>
  <si>
    <t>Заступник директора</t>
  </si>
  <si>
    <t>з навч.-вихов.роботи</t>
  </si>
  <si>
    <t>Керуючий справами  ____________________________В.Д.Сергієнко</t>
  </si>
  <si>
    <t>Виконавець:</t>
  </si>
  <si>
    <t>Г.П.Рубаха</t>
  </si>
  <si>
    <t>т.4-22-04</t>
  </si>
  <si>
    <t>до  рішення виконкому № 343  від 23.08.2017р.</t>
  </si>
  <si>
    <t>штат у кількості  10,50 штатних одиниць</t>
  </si>
  <si>
    <t>з місячним фондом заробітної плати 48400,60 грн.</t>
  </si>
  <si>
    <t>Штатний розпис на 2017-2018 навчальний рік</t>
  </si>
  <si>
    <t xml:space="preserve">Цех харчування </t>
  </si>
  <si>
    <t>надбавка</t>
  </si>
  <si>
    <t>25%,50%</t>
  </si>
  <si>
    <t>на рік</t>
  </si>
  <si>
    <t>Головний спеціаліст з питань дитячого харчування</t>
  </si>
  <si>
    <t>11тар.розряд</t>
  </si>
  <si>
    <t>Експедитор</t>
  </si>
  <si>
    <t>Калькулятор</t>
  </si>
  <si>
    <t>Зав.складу</t>
  </si>
  <si>
    <t>Керуючий справами виконкому</t>
  </si>
  <si>
    <t>Г.М.Відяєва</t>
  </si>
  <si>
    <t>Рубаха</t>
  </si>
  <si>
    <t>з/пл по " іншим" на  01.09.2014рік без індексації</t>
  </si>
  <si>
    <t>з/пл по тариф</t>
  </si>
  <si>
    <t>пед.</t>
  </si>
  <si>
    <t>спец</t>
  </si>
  <si>
    <t>МОП</t>
  </si>
  <si>
    <t>вих</t>
  </si>
  <si>
    <t>БТ</t>
  </si>
  <si>
    <t>методкабінет</t>
  </si>
  <si>
    <t>ЦБ</t>
  </si>
  <si>
    <t>Госп.гр.</t>
  </si>
  <si>
    <t>НВЦ</t>
  </si>
  <si>
    <t>контроль</t>
  </si>
  <si>
    <t xml:space="preserve">штатне без </t>
  </si>
  <si>
    <t>дюсш</t>
  </si>
  <si>
    <t>апарат</t>
  </si>
  <si>
    <t>ДЮСШ</t>
  </si>
  <si>
    <t>розряд</t>
  </si>
  <si>
    <t>к-ть ст.</t>
  </si>
  <si>
    <t>всього</t>
  </si>
  <si>
    <t>з плата</t>
  </si>
  <si>
    <t>тариф</t>
  </si>
  <si>
    <t>педаг</t>
  </si>
  <si>
    <t>Всього по штатному</t>
  </si>
  <si>
    <t>Всього з тариф.</t>
  </si>
  <si>
    <t>бт</t>
  </si>
  <si>
    <t>метод</t>
  </si>
  <si>
    <t>госп.гр</t>
  </si>
  <si>
    <t>цех.х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</si>
</sst>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%"/>
    <numFmt numFmtId="167" formatCode="0"/>
    <numFmt numFmtId="168" formatCode="0.0"/>
    <numFmt numFmtId="169" formatCode="#,##0.00"/>
    <numFmt numFmtId="170" formatCode="_(* #,##0.00_);_(* \(#,##0.00\);_(* \-??_);_(@_)"/>
  </numFmts>
  <fonts count="19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9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Alignment="1">
      <alignment horizontal="right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justify" vertical="center"/>
    </xf>
    <xf numFmtId="164" fontId="9" fillId="0" borderId="2" xfId="0" applyFont="1" applyFill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textRotation="90" wrapText="1"/>
    </xf>
    <xf numFmtId="164" fontId="5" fillId="0" borderId="4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justify" vertical="center" textRotation="90" wrapText="1"/>
    </xf>
    <xf numFmtId="166" fontId="5" fillId="0" borderId="3" xfId="0" applyNumberFormat="1" applyFont="1" applyFill="1" applyBorder="1" applyAlignment="1">
      <alignment horizontal="center" textRotation="90"/>
    </xf>
    <xf numFmtId="164" fontId="5" fillId="0" borderId="5" xfId="0" applyFont="1" applyFill="1" applyBorder="1" applyAlignment="1">
      <alignment/>
    </xf>
    <xf numFmtId="166" fontId="5" fillId="0" borderId="3" xfId="0" applyNumberFormat="1" applyFont="1" applyFill="1" applyBorder="1" applyAlignment="1">
      <alignment textRotation="90"/>
    </xf>
    <xf numFmtId="164" fontId="5" fillId="0" borderId="3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3" fillId="0" borderId="3" xfId="0" applyFont="1" applyFill="1" applyBorder="1" applyAlignment="1">
      <alignment horizontal="justify" vertical="center" textRotation="90" wrapText="1"/>
    </xf>
    <xf numFmtId="164" fontId="5" fillId="0" borderId="2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textRotation="90"/>
    </xf>
    <xf numFmtId="164" fontId="5" fillId="0" borderId="6" xfId="0" applyFont="1" applyFill="1" applyBorder="1" applyAlignment="1">
      <alignment horizontal="justify" vertical="center" wrapText="1"/>
    </xf>
    <xf numFmtId="164" fontId="9" fillId="0" borderId="6" xfId="0" applyFont="1" applyFill="1" applyBorder="1" applyAlignment="1">
      <alignment/>
    </xf>
    <xf numFmtId="164" fontId="5" fillId="0" borderId="3" xfId="0" applyFont="1" applyFill="1" applyBorder="1" applyAlignment="1">
      <alignment horizontal="center" textRotation="90"/>
    </xf>
    <xf numFmtId="164" fontId="5" fillId="0" borderId="3" xfId="0" applyFont="1" applyFill="1" applyBorder="1" applyAlignment="1">
      <alignment horizontal="justify" vertical="center" textRotation="90"/>
    </xf>
    <xf numFmtId="166" fontId="5" fillId="0" borderId="4" xfId="0" applyNumberFormat="1" applyFont="1" applyFill="1" applyBorder="1" applyAlignment="1">
      <alignment horizontal="justify" vertical="center" textRotation="90" wrapText="1"/>
    </xf>
    <xf numFmtId="166" fontId="5" fillId="0" borderId="5" xfId="0" applyNumberFormat="1" applyFont="1" applyFill="1" applyBorder="1" applyAlignment="1">
      <alignment horizontal="center" textRotation="90"/>
    </xf>
    <xf numFmtId="166" fontId="5" fillId="0" borderId="7" xfId="0" applyNumberFormat="1" applyFont="1" applyFill="1" applyBorder="1" applyAlignment="1">
      <alignment horizontal="center" textRotation="90"/>
    </xf>
    <xf numFmtId="166" fontId="5" fillId="0" borderId="3" xfId="0" applyNumberFormat="1" applyFont="1" applyFill="1" applyBorder="1" applyAlignment="1">
      <alignment horizontal="justify" vertical="center" textRotation="90"/>
    </xf>
    <xf numFmtId="164" fontId="5" fillId="0" borderId="6" xfId="0" applyFont="1" applyFill="1" applyBorder="1" applyAlignment="1">
      <alignment/>
    </xf>
    <xf numFmtId="164" fontId="5" fillId="0" borderId="8" xfId="0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 textRotation="90"/>
    </xf>
    <xf numFmtId="166" fontId="5" fillId="0" borderId="6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5" fillId="0" borderId="6" xfId="0" applyFont="1" applyFill="1" applyBorder="1" applyAlignment="1">
      <alignment horizontal="center"/>
    </xf>
    <xf numFmtId="164" fontId="5" fillId="0" borderId="9" xfId="0" applyFont="1" applyFill="1" applyBorder="1" applyAlignment="1">
      <alignment horizontal="center"/>
    </xf>
    <xf numFmtId="164" fontId="5" fillId="0" borderId="9" xfId="0" applyFont="1" applyFill="1" applyBorder="1" applyAlignment="1">
      <alignment/>
    </xf>
    <xf numFmtId="166" fontId="5" fillId="0" borderId="9" xfId="0" applyNumberFormat="1" applyFont="1" applyFill="1" applyBorder="1" applyAlignment="1">
      <alignment/>
    </xf>
    <xf numFmtId="164" fontId="5" fillId="0" borderId="7" xfId="0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4" fontId="5" fillId="0" borderId="7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justify"/>
    </xf>
    <xf numFmtId="164" fontId="5" fillId="2" borderId="7" xfId="0" applyFont="1" applyFill="1" applyBorder="1" applyAlignment="1">
      <alignment horizontal="center"/>
    </xf>
    <xf numFmtId="167" fontId="5" fillId="2" borderId="7" xfId="0" applyNumberFormat="1" applyFont="1" applyFill="1" applyBorder="1" applyAlignment="1">
      <alignment/>
    </xf>
    <xf numFmtId="167" fontId="5" fillId="2" borderId="7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/>
    </xf>
    <xf numFmtId="165" fontId="5" fillId="2" borderId="9" xfId="0" applyNumberFormat="1" applyFont="1" applyFill="1" applyBorder="1" applyAlignment="1">
      <alignment/>
    </xf>
    <xf numFmtId="165" fontId="9" fillId="2" borderId="9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/>
    </xf>
    <xf numFmtId="165" fontId="9" fillId="2" borderId="3" xfId="0" applyNumberFormat="1" applyFont="1" applyFill="1" applyBorder="1" applyAlignment="1">
      <alignment/>
    </xf>
    <xf numFmtId="165" fontId="5" fillId="2" borderId="7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justify"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5" fillId="0" borderId="3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justify"/>
    </xf>
    <xf numFmtId="167" fontId="5" fillId="0" borderId="7" xfId="0" applyNumberFormat="1" applyFont="1" applyFill="1" applyBorder="1" applyAlignment="1">
      <alignment/>
    </xf>
    <xf numFmtId="167" fontId="5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justify"/>
    </xf>
    <xf numFmtId="165" fontId="5" fillId="0" borderId="9" xfId="0" applyNumberFormat="1" applyFont="1" applyFill="1" applyBorder="1" applyAlignment="1">
      <alignment/>
    </xf>
    <xf numFmtId="165" fontId="3" fillId="0" borderId="9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/>
    </xf>
    <xf numFmtId="165" fontId="9" fillId="0" borderId="3" xfId="0" applyNumberFormat="1" applyFont="1" applyFill="1" applyBorder="1" applyAlignment="1">
      <alignment/>
    </xf>
    <xf numFmtId="165" fontId="5" fillId="0" borderId="7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/>
    </xf>
    <xf numFmtId="164" fontId="5" fillId="2" borderId="3" xfId="0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/>
    </xf>
    <xf numFmtId="164" fontId="5" fillId="0" borderId="3" xfId="0" applyFont="1" applyFill="1" applyBorder="1" applyAlignment="1">
      <alignment horizontal="justify" vertical="distributed" wrapText="1"/>
    </xf>
    <xf numFmtId="164" fontId="5" fillId="2" borderId="3" xfId="0" applyFont="1" applyFill="1" applyBorder="1" applyAlignment="1">
      <alignment horizontal="justify"/>
    </xf>
    <xf numFmtId="168" fontId="2" fillId="0" borderId="0" xfId="0" applyNumberFormat="1" applyFont="1" applyFill="1" applyBorder="1" applyAlignment="1">
      <alignment/>
    </xf>
    <xf numFmtId="164" fontId="5" fillId="2" borderId="3" xfId="0" applyFont="1" applyFill="1" applyBorder="1" applyAlignment="1">
      <alignment horizontal="justify" vertical="center" wrapText="1"/>
    </xf>
    <xf numFmtId="164" fontId="5" fillId="2" borderId="3" xfId="0" applyFont="1" applyFill="1" applyBorder="1" applyAlignment="1">
      <alignment/>
    </xf>
    <xf numFmtId="165" fontId="5" fillId="2" borderId="4" xfId="0" applyNumberFormat="1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5" fillId="0" borderId="3" xfId="0" applyFont="1" applyFill="1" applyBorder="1" applyAlignment="1">
      <alignment horizontal="justify" wrapText="1"/>
    </xf>
    <xf numFmtId="165" fontId="5" fillId="0" borderId="1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justify" vertical="center" wrapText="1"/>
    </xf>
    <xf numFmtId="164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justify" vertical="center"/>
    </xf>
    <xf numFmtId="164" fontId="2" fillId="0" borderId="0" xfId="0" applyFont="1" applyFill="1" applyBorder="1" applyAlignment="1">
      <alignment horizontal="left"/>
    </xf>
    <xf numFmtId="164" fontId="12" fillId="0" borderId="0" xfId="0" applyFont="1" applyFill="1" applyAlignment="1">
      <alignment/>
    </xf>
    <xf numFmtId="164" fontId="2" fillId="0" borderId="10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/>
    </xf>
    <xf numFmtId="164" fontId="2" fillId="0" borderId="12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6" xfId="0" applyFont="1" applyFill="1" applyBorder="1" applyAlignment="1">
      <alignment/>
    </xf>
    <xf numFmtId="164" fontId="2" fillId="0" borderId="1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textRotation="90"/>
    </xf>
    <xf numFmtId="164" fontId="2" fillId="0" borderId="2" xfId="0" applyFont="1" applyFill="1" applyBorder="1" applyAlignment="1">
      <alignment horizontal="center" textRotation="90"/>
    </xf>
    <xf numFmtId="164" fontId="2" fillId="0" borderId="3" xfId="0" applyFont="1" applyFill="1" applyBorder="1" applyAlignment="1">
      <alignment horizontal="justify" vertical="center" textRotation="90"/>
    </xf>
    <xf numFmtId="166" fontId="2" fillId="0" borderId="7" xfId="0" applyNumberFormat="1" applyFont="1" applyFill="1" applyBorder="1" applyAlignment="1">
      <alignment horizontal="center" textRotation="90"/>
    </xf>
    <xf numFmtId="166" fontId="2" fillId="0" borderId="3" xfId="0" applyNumberFormat="1" applyFont="1" applyFill="1" applyBorder="1" applyAlignment="1">
      <alignment horizontal="center" textRotation="90"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 horizontal="center" textRotation="90"/>
    </xf>
    <xf numFmtId="166" fontId="2" fillId="0" borderId="6" xfId="0" applyNumberFormat="1" applyFont="1" applyFill="1" applyBorder="1" applyAlignment="1">
      <alignment/>
    </xf>
    <xf numFmtId="164" fontId="2" fillId="0" borderId="6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9" xfId="0" applyFont="1" applyFill="1" applyBorder="1" applyAlignment="1">
      <alignment/>
    </xf>
    <xf numFmtId="164" fontId="2" fillId="0" borderId="14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textRotation="90"/>
    </xf>
    <xf numFmtId="166" fontId="2" fillId="0" borderId="9" xfId="0" applyNumberFormat="1" applyFont="1" applyFill="1" applyBorder="1" applyAlignment="1">
      <alignment/>
    </xf>
    <xf numFmtId="164" fontId="2" fillId="0" borderId="7" xfId="0" applyFont="1" applyFill="1" applyBorder="1" applyAlignment="1">
      <alignment/>
    </xf>
    <xf numFmtId="164" fontId="2" fillId="0" borderId="7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justify"/>
    </xf>
    <xf numFmtId="168" fontId="2" fillId="0" borderId="7" xfId="0" applyNumberFormat="1" applyFont="1" applyFill="1" applyBorder="1" applyAlignment="1">
      <alignment/>
    </xf>
    <xf numFmtId="167" fontId="2" fillId="0" borderId="7" xfId="0" applyNumberFormat="1" applyFont="1" applyFill="1" applyBorder="1" applyAlignment="1">
      <alignment/>
    </xf>
    <xf numFmtId="167" fontId="2" fillId="0" borderId="7" xfId="0" applyNumberFormat="1" applyFont="1" applyFill="1" applyBorder="1" applyAlignment="1">
      <alignment horizontal="justify" vertical="center"/>
    </xf>
    <xf numFmtId="165" fontId="2" fillId="0" borderId="7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9" fontId="2" fillId="0" borderId="7" xfId="0" applyNumberFormat="1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justify"/>
    </xf>
    <xf numFmtId="164" fontId="2" fillId="0" borderId="3" xfId="0" applyFont="1" applyFill="1" applyBorder="1" applyAlignment="1">
      <alignment/>
    </xf>
    <xf numFmtId="167" fontId="2" fillId="0" borderId="3" xfId="0" applyNumberFormat="1" applyFont="1" applyFill="1" applyBorder="1" applyAlignment="1">
      <alignment/>
    </xf>
    <xf numFmtId="168" fontId="2" fillId="0" borderId="3" xfId="0" applyNumberFormat="1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justify" vertical="center" wrapText="1"/>
    </xf>
    <xf numFmtId="164" fontId="5" fillId="0" borderId="2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textRotation="90"/>
    </xf>
    <xf numFmtId="164" fontId="5" fillId="0" borderId="5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textRotation="90"/>
    </xf>
    <xf numFmtId="164" fontId="3" fillId="0" borderId="8" xfId="0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 horizontal="center" textRotation="90"/>
    </xf>
    <xf numFmtId="164" fontId="5" fillId="0" borderId="8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center" vertical="center" wrapText="1"/>
    </xf>
    <xf numFmtId="164" fontId="5" fillId="0" borderId="7" xfId="0" applyFont="1" applyFill="1" applyBorder="1" applyAlignment="1">
      <alignment horizontal="center" textRotation="90"/>
    </xf>
    <xf numFmtId="164" fontId="5" fillId="0" borderId="7" xfId="0" applyFont="1" applyFill="1" applyBorder="1" applyAlignment="1">
      <alignment/>
    </xf>
    <xf numFmtId="164" fontId="5" fillId="2" borderId="9" xfId="0" applyFont="1" applyFill="1" applyBorder="1" applyAlignment="1">
      <alignment horizontal="justify" vertical="center"/>
    </xf>
    <xf numFmtId="164" fontId="5" fillId="2" borderId="9" xfId="0" applyFont="1" applyFill="1" applyBorder="1" applyAlignment="1">
      <alignment/>
    </xf>
    <xf numFmtId="167" fontId="5" fillId="2" borderId="7" xfId="0" applyNumberFormat="1" applyFont="1" applyFill="1" applyBorder="1" applyAlignment="1">
      <alignment horizontal="right"/>
    </xf>
    <xf numFmtId="164" fontId="5" fillId="2" borderId="7" xfId="0" applyFont="1" applyFill="1" applyBorder="1" applyAlignment="1">
      <alignment horizontal="center" textRotation="90"/>
    </xf>
    <xf numFmtId="164" fontId="5" fillId="2" borderId="7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5" fillId="0" borderId="3" xfId="0" applyFont="1" applyFill="1" applyBorder="1" applyAlignment="1">
      <alignment vertical="center"/>
    </xf>
    <xf numFmtId="170" fontId="5" fillId="0" borderId="3" xfId="15" applyFont="1" applyFill="1" applyBorder="1" applyAlignment="1" applyProtection="1">
      <alignment horizontal="left"/>
      <protection/>
    </xf>
    <xf numFmtId="167" fontId="5" fillId="0" borderId="3" xfId="0" applyNumberFormat="1" applyFont="1" applyFill="1" applyBorder="1" applyAlignment="1">
      <alignment/>
    </xf>
    <xf numFmtId="167" fontId="5" fillId="2" borderId="3" xfId="0" applyNumberFormat="1" applyFont="1" applyFill="1" applyBorder="1" applyAlignment="1">
      <alignment/>
    </xf>
    <xf numFmtId="164" fontId="5" fillId="2" borderId="3" xfId="0" applyFont="1" applyFill="1" applyBorder="1" applyAlignment="1">
      <alignment horizontal="justify" vertical="center"/>
    </xf>
    <xf numFmtId="165" fontId="9" fillId="2" borderId="7" xfId="0" applyNumberFormat="1" applyFont="1" applyFill="1" applyBorder="1" applyAlignment="1">
      <alignment/>
    </xf>
    <xf numFmtId="164" fontId="5" fillId="0" borderId="3" xfId="0" applyFont="1" applyFill="1" applyBorder="1" applyAlignment="1">
      <alignment horizontal="right"/>
    </xf>
    <xf numFmtId="164" fontId="5" fillId="2" borderId="3" xfId="0" applyFont="1" applyFill="1" applyBorder="1" applyAlignment="1">
      <alignment horizontal="right"/>
    </xf>
    <xf numFmtId="167" fontId="5" fillId="2" borderId="8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right"/>
    </xf>
    <xf numFmtId="167" fontId="5" fillId="0" borderId="7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 horizontal="justify" vertical="center"/>
    </xf>
    <xf numFmtId="164" fontId="5" fillId="0" borderId="2" xfId="0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7" fontId="5" fillId="0" borderId="3" xfId="0" applyNumberFormat="1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0" borderId="0" xfId="0" applyFont="1" applyFill="1" applyBorder="1" applyAlignment="1">
      <alignment horizontal="left"/>
    </xf>
    <xf numFmtId="164" fontId="13" fillId="0" borderId="0" xfId="0" applyFont="1" applyFill="1" applyAlignment="1">
      <alignment horizontal="left"/>
    </xf>
    <xf numFmtId="164" fontId="1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13" fillId="0" borderId="10" xfId="0" applyFont="1" applyFill="1" applyBorder="1" applyAlignment="1">
      <alignment horizontal="justify" vertical="center"/>
    </xf>
    <xf numFmtId="164" fontId="13" fillId="0" borderId="1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4" fontId="13" fillId="0" borderId="2" xfId="0" applyFont="1" applyFill="1" applyBorder="1" applyAlignment="1">
      <alignment/>
    </xf>
    <xf numFmtId="164" fontId="13" fillId="0" borderId="4" xfId="0" applyFont="1" applyFill="1" applyBorder="1" applyAlignment="1">
      <alignment horizontal="center" vertical="center" wrapText="1"/>
    </xf>
    <xf numFmtId="164" fontId="13" fillId="0" borderId="11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/>
    </xf>
    <xf numFmtId="164" fontId="13" fillId="0" borderId="6" xfId="0" applyFont="1" applyFill="1" applyBorder="1" applyAlignment="1">
      <alignment/>
    </xf>
    <xf numFmtId="164" fontId="13" fillId="0" borderId="1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textRotation="90"/>
    </xf>
    <xf numFmtId="164" fontId="13" fillId="0" borderId="2" xfId="0" applyFont="1" applyFill="1" applyBorder="1" applyAlignment="1">
      <alignment horizontal="center" textRotation="90"/>
    </xf>
    <xf numFmtId="164" fontId="13" fillId="0" borderId="3" xfId="0" applyFont="1" applyFill="1" applyBorder="1" applyAlignment="1">
      <alignment horizontal="justify" vertical="center" textRotation="90"/>
    </xf>
    <xf numFmtId="166" fontId="13" fillId="0" borderId="3" xfId="0" applyNumberFormat="1" applyFont="1" applyFill="1" applyBorder="1" applyAlignment="1">
      <alignment horizontal="justify" vertical="center" textRotation="90"/>
    </xf>
    <xf numFmtId="164" fontId="13" fillId="0" borderId="8" xfId="0" applyFont="1" applyFill="1" applyBorder="1" applyAlignment="1">
      <alignment/>
    </xf>
    <xf numFmtId="164" fontId="13" fillId="0" borderId="8" xfId="0" applyFont="1" applyFill="1" applyBorder="1" applyAlignment="1">
      <alignment horizontal="center" textRotation="90"/>
    </xf>
    <xf numFmtId="166" fontId="13" fillId="0" borderId="6" xfId="0" applyNumberFormat="1" applyFont="1" applyFill="1" applyBorder="1" applyAlignment="1">
      <alignment/>
    </xf>
    <xf numFmtId="164" fontId="13" fillId="0" borderId="6" xfId="0" applyFont="1" applyFill="1" applyBorder="1" applyAlignment="1">
      <alignment horizontal="center"/>
    </xf>
    <xf numFmtId="164" fontId="13" fillId="0" borderId="9" xfId="0" applyFont="1" applyFill="1" applyBorder="1" applyAlignment="1">
      <alignment horizontal="center"/>
    </xf>
    <xf numFmtId="164" fontId="13" fillId="0" borderId="9" xfId="0" applyFont="1" applyFill="1" applyBorder="1" applyAlignment="1">
      <alignment/>
    </xf>
    <xf numFmtId="164" fontId="13" fillId="0" borderId="14" xfId="0" applyFont="1" applyFill="1" applyBorder="1" applyAlignment="1">
      <alignment horizontal="center" vertical="center" wrapText="1"/>
    </xf>
    <xf numFmtId="164" fontId="13" fillId="0" borderId="7" xfId="0" applyFont="1" applyFill="1" applyBorder="1" applyAlignment="1">
      <alignment horizontal="center" textRotation="90"/>
    </xf>
    <xf numFmtId="166" fontId="13" fillId="0" borderId="9" xfId="0" applyNumberFormat="1" applyFont="1" applyFill="1" applyBorder="1" applyAlignment="1">
      <alignment/>
    </xf>
    <xf numFmtId="164" fontId="13" fillId="0" borderId="7" xfId="0" applyFont="1" applyFill="1" applyBorder="1" applyAlignment="1">
      <alignment/>
    </xf>
    <xf numFmtId="164" fontId="13" fillId="0" borderId="7" xfId="0" applyFont="1" applyFill="1" applyBorder="1" applyAlignment="1">
      <alignment horizontal="center"/>
    </xf>
    <xf numFmtId="164" fontId="13" fillId="0" borderId="7" xfId="0" applyFont="1" applyFill="1" applyBorder="1" applyAlignment="1">
      <alignment horizontal="justify" vertical="center"/>
    </xf>
    <xf numFmtId="165" fontId="13" fillId="0" borderId="7" xfId="0" applyNumberFormat="1" applyFont="1" applyFill="1" applyBorder="1" applyAlignment="1">
      <alignment/>
    </xf>
    <xf numFmtId="167" fontId="13" fillId="0" borderId="7" xfId="0" applyNumberFormat="1" applyFont="1" applyFill="1" applyBorder="1" applyAlignment="1">
      <alignment horizontal="justify" vertical="center"/>
    </xf>
    <xf numFmtId="165" fontId="13" fillId="0" borderId="7" xfId="0" applyNumberFormat="1" applyFont="1" applyFill="1" applyBorder="1" applyAlignment="1">
      <alignment/>
    </xf>
    <xf numFmtId="164" fontId="13" fillId="0" borderId="7" xfId="0" applyFont="1" applyFill="1" applyBorder="1" applyAlignment="1">
      <alignment/>
    </xf>
    <xf numFmtId="164" fontId="13" fillId="0" borderId="2" xfId="0" applyFont="1" applyFill="1" applyBorder="1" applyAlignment="1">
      <alignment/>
    </xf>
    <xf numFmtId="164" fontId="13" fillId="0" borderId="2" xfId="0" applyFont="1" applyFill="1" applyBorder="1" applyAlignment="1">
      <alignment vertical="center"/>
    </xf>
    <xf numFmtId="164" fontId="13" fillId="0" borderId="3" xfId="0" applyFont="1" applyFill="1" applyBorder="1" applyAlignment="1">
      <alignment/>
    </xf>
    <xf numFmtId="167" fontId="13" fillId="0" borderId="7" xfId="0" applyNumberFormat="1" applyFont="1" applyFill="1" applyBorder="1" applyAlignment="1">
      <alignment/>
    </xf>
    <xf numFmtId="164" fontId="13" fillId="0" borderId="8" xfId="0" applyFont="1" applyFill="1" applyBorder="1" applyAlignment="1">
      <alignment/>
    </xf>
    <xf numFmtId="164" fontId="13" fillId="0" borderId="8" xfId="0" applyFont="1" applyFill="1" applyBorder="1" applyAlignment="1">
      <alignment vertical="center"/>
    </xf>
    <xf numFmtId="164" fontId="13" fillId="0" borderId="7" xfId="0" applyFont="1" applyFill="1" applyBorder="1" applyAlignment="1">
      <alignment vertical="center"/>
    </xf>
    <xf numFmtId="164" fontId="13" fillId="0" borderId="3" xfId="0" applyFont="1" applyFill="1" applyBorder="1" applyAlignment="1">
      <alignment horizontal="center"/>
    </xf>
    <xf numFmtId="164" fontId="13" fillId="0" borderId="3" xfId="0" applyFont="1" applyFill="1" applyBorder="1" applyAlignment="1">
      <alignment horizontal="justify" vertical="center"/>
    </xf>
    <xf numFmtId="165" fontId="13" fillId="0" borderId="3" xfId="0" applyNumberFormat="1" applyFont="1" applyFill="1" applyBorder="1" applyAlignment="1">
      <alignment/>
    </xf>
    <xf numFmtId="167" fontId="13" fillId="0" borderId="3" xfId="0" applyNumberFormat="1" applyFont="1" applyFill="1" applyBorder="1" applyAlignment="1">
      <alignment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Fill="1" applyAlignment="1">
      <alignment horizontal="center"/>
    </xf>
    <xf numFmtId="164" fontId="13" fillId="0" borderId="0" xfId="0" applyFont="1" applyFill="1" applyAlignment="1">
      <alignment/>
    </xf>
    <xf numFmtId="164" fontId="13" fillId="0" borderId="15" xfId="0" applyFont="1" applyFill="1" applyBorder="1" applyAlignment="1">
      <alignment horizontal="center" textRotation="90"/>
    </xf>
    <xf numFmtId="164" fontId="13" fillId="0" borderId="15" xfId="0" applyFont="1" applyFill="1" applyBorder="1" applyAlignment="1">
      <alignment/>
    </xf>
    <xf numFmtId="166" fontId="13" fillId="0" borderId="3" xfId="0" applyNumberFormat="1" applyFont="1" applyFill="1" applyBorder="1" applyAlignment="1">
      <alignment horizontal="center" textRotation="90"/>
    </xf>
    <xf numFmtId="164" fontId="16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center" textRotation="90"/>
    </xf>
    <xf numFmtId="166" fontId="13" fillId="0" borderId="0" xfId="0" applyNumberFormat="1" applyFont="1" applyFill="1" applyBorder="1" applyAlignment="1">
      <alignment horizontal="center" textRotation="90"/>
    </xf>
    <xf numFmtId="166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/>
    </xf>
    <xf numFmtId="164" fontId="13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7" fillId="0" borderId="0" xfId="0" applyFont="1" applyFill="1" applyAlignment="1">
      <alignment/>
    </xf>
    <xf numFmtId="164" fontId="18" fillId="0" borderId="0" xfId="0" applyFont="1" applyFill="1" applyBorder="1" applyAlignment="1">
      <alignment horizontal="center"/>
    </xf>
    <xf numFmtId="164" fontId="5" fillId="0" borderId="12" xfId="0" applyFont="1" applyFill="1" applyBorder="1" applyAlignment="1">
      <alignment/>
    </xf>
    <xf numFmtId="164" fontId="5" fillId="0" borderId="12" xfId="0" applyFont="1" applyFill="1" applyBorder="1" applyAlignment="1">
      <alignment/>
    </xf>
    <xf numFmtId="166" fontId="5" fillId="0" borderId="2" xfId="0" applyNumberFormat="1" applyFont="1" applyFill="1" applyBorder="1" applyAlignment="1">
      <alignment horizontal="center" textRotation="90"/>
    </xf>
    <xf numFmtId="164" fontId="9" fillId="0" borderId="3" xfId="0" applyFont="1" applyFill="1" applyBorder="1" applyAlignment="1">
      <alignment horizontal="justify" vertical="center" textRotation="90"/>
    </xf>
    <xf numFmtId="164" fontId="5" fillId="2" borderId="7" xfId="0" applyFont="1" applyFill="1" applyBorder="1" applyAlignment="1">
      <alignment horizontal="justify" vertical="center" wrapText="1"/>
    </xf>
    <xf numFmtId="164" fontId="5" fillId="3" borderId="3" xfId="0" applyFont="1" applyFill="1" applyBorder="1" applyAlignment="1">
      <alignment/>
    </xf>
    <xf numFmtId="167" fontId="5" fillId="3" borderId="7" xfId="0" applyNumberFormat="1" applyFont="1" applyFill="1" applyBorder="1" applyAlignment="1">
      <alignment/>
    </xf>
    <xf numFmtId="167" fontId="5" fillId="3" borderId="7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/>
    </xf>
    <xf numFmtId="165" fontId="5" fillId="3" borderId="3" xfId="0" applyNumberFormat="1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5" fillId="2" borderId="7" xfId="0" applyFont="1" applyFill="1" applyBorder="1" applyAlignment="1">
      <alignment horizontal="justify" vertical="center"/>
    </xf>
    <xf numFmtId="164" fontId="5" fillId="0" borderId="7" xfId="0" applyFont="1" applyFill="1" applyBorder="1" applyAlignment="1">
      <alignment horizontal="justify" vertical="center"/>
    </xf>
    <xf numFmtId="165" fontId="3" fillId="0" borderId="0" xfId="0" applyNumberFormat="1" applyFont="1" applyFill="1" applyAlignment="1">
      <alignment/>
    </xf>
    <xf numFmtId="164" fontId="5" fillId="0" borderId="11" xfId="0" applyFont="1" applyFill="1" applyBorder="1" applyAlignment="1">
      <alignment horizontal="center"/>
    </xf>
    <xf numFmtId="165" fontId="13" fillId="0" borderId="0" xfId="0" applyNumberFormat="1" applyFont="1" applyFill="1" applyAlignment="1">
      <alignment/>
    </xf>
    <xf numFmtId="167" fontId="13" fillId="0" borderId="0" xfId="0" applyNumberFormat="1" applyFont="1" applyFill="1" applyAlignment="1">
      <alignment/>
    </xf>
    <xf numFmtId="164" fontId="16" fillId="0" borderId="0" xfId="0" applyFont="1" applyFill="1" applyAlignment="1">
      <alignment/>
    </xf>
    <xf numFmtId="165" fontId="14" fillId="0" borderId="0" xfId="0" applyNumberFormat="1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164" fontId="13" fillId="0" borderId="16" xfId="0" applyFont="1" applyFill="1" applyBorder="1" applyAlignment="1">
      <alignment/>
    </xf>
    <xf numFmtId="164" fontId="13" fillId="0" borderId="17" xfId="0" applyFont="1" applyFill="1" applyBorder="1" applyAlignment="1">
      <alignment horizontal="center"/>
    </xf>
    <xf numFmtId="164" fontId="13" fillId="0" borderId="18" xfId="0" applyFont="1" applyFill="1" applyBorder="1" applyAlignment="1">
      <alignment/>
    </xf>
    <xf numFmtId="164" fontId="13" fillId="0" borderId="18" xfId="0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164" fontId="13" fillId="0" borderId="20" xfId="0" applyFont="1" applyFill="1" applyBorder="1" applyAlignment="1">
      <alignment horizontal="center"/>
    </xf>
    <xf numFmtId="164" fontId="13" fillId="0" borderId="18" xfId="0" applyFont="1" applyFill="1" applyBorder="1" applyAlignment="1">
      <alignment horizontal="center" textRotation="90"/>
    </xf>
    <xf numFmtId="164" fontId="13" fillId="0" borderId="18" xfId="0" applyFont="1" applyFill="1" applyBorder="1" applyAlignment="1">
      <alignment/>
    </xf>
    <xf numFmtId="164" fontId="13" fillId="0" borderId="19" xfId="0" applyFont="1" applyFill="1" applyBorder="1" applyAlignment="1">
      <alignment horizontal="center"/>
    </xf>
    <xf numFmtId="166" fontId="5" fillId="0" borderId="21" xfId="0" applyNumberFormat="1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 horizontal="left"/>
    </xf>
    <xf numFmtId="165" fontId="13" fillId="0" borderId="23" xfId="0" applyNumberFormat="1" applyFont="1" applyFill="1" applyBorder="1" applyAlignment="1">
      <alignment horizontal="center"/>
    </xf>
    <xf numFmtId="164" fontId="13" fillId="0" borderId="23" xfId="0" applyFont="1" applyFill="1" applyBorder="1" applyAlignment="1">
      <alignment horizontal="center"/>
    </xf>
    <xf numFmtId="165" fontId="13" fillId="0" borderId="23" xfId="0" applyNumberFormat="1" applyFont="1" applyFill="1" applyBorder="1" applyAlignment="1">
      <alignment/>
    </xf>
    <xf numFmtId="165" fontId="13" fillId="0" borderId="23" xfId="0" applyNumberFormat="1" applyFont="1" applyFill="1" applyBorder="1" applyAlignment="1">
      <alignment/>
    </xf>
    <xf numFmtId="165" fontId="13" fillId="0" borderId="24" xfId="0" applyNumberFormat="1" applyFont="1" applyFill="1" applyBorder="1" applyAlignment="1">
      <alignment horizontal="center"/>
    </xf>
    <xf numFmtId="165" fontId="13" fillId="0" borderId="25" xfId="0" applyNumberFormat="1" applyFont="1" applyFill="1" applyBorder="1" applyAlignment="1">
      <alignment/>
    </xf>
    <xf numFmtId="164" fontId="13" fillId="0" borderId="26" xfId="0" applyFont="1" applyFill="1" applyBorder="1" applyAlignment="1">
      <alignment/>
    </xf>
    <xf numFmtId="165" fontId="13" fillId="0" borderId="3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/>
    </xf>
    <xf numFmtId="165" fontId="5" fillId="0" borderId="27" xfId="0" applyNumberFormat="1" applyFont="1" applyFill="1" applyBorder="1" applyAlignment="1">
      <alignment horizontal="center"/>
    </xf>
    <xf numFmtId="165" fontId="13" fillId="0" borderId="27" xfId="0" applyNumberFormat="1" applyFont="1" applyFill="1" applyBorder="1" applyAlignment="1">
      <alignment horizontal="center"/>
    </xf>
    <xf numFmtId="164" fontId="13" fillId="0" borderId="28" xfId="0" applyFont="1" applyFill="1" applyBorder="1" applyAlignment="1">
      <alignment/>
    </xf>
    <xf numFmtId="164" fontId="13" fillId="0" borderId="2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/>
    </xf>
    <xf numFmtId="165" fontId="13" fillId="0" borderId="2" xfId="0" applyNumberFormat="1" applyFont="1" applyFill="1" applyBorder="1" applyAlignment="1">
      <alignment horizontal="center"/>
    </xf>
    <xf numFmtId="165" fontId="13" fillId="0" borderId="29" xfId="0" applyNumberFormat="1" applyFont="1" applyFill="1" applyBorder="1" applyAlignment="1">
      <alignment horizontal="center"/>
    </xf>
    <xf numFmtId="164" fontId="5" fillId="0" borderId="16" xfId="0" applyFont="1" applyFill="1" applyBorder="1" applyAlignment="1">
      <alignment/>
    </xf>
    <xf numFmtId="165" fontId="5" fillId="0" borderId="30" xfId="0" applyNumberFormat="1" applyFont="1" applyFill="1" applyBorder="1" applyAlignment="1">
      <alignment horizontal="center"/>
    </xf>
    <xf numFmtId="164" fontId="5" fillId="0" borderId="30" xfId="0" applyFont="1" applyFill="1" applyBorder="1" applyAlignment="1">
      <alignment horizontal="center"/>
    </xf>
    <xf numFmtId="165" fontId="5" fillId="0" borderId="30" xfId="0" applyNumberFormat="1" applyFont="1" applyFill="1" applyBorder="1" applyAlignment="1">
      <alignment/>
    </xf>
    <xf numFmtId="165" fontId="5" fillId="0" borderId="2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4" fontId="13" fillId="0" borderId="31" xfId="0" applyFont="1" applyFill="1" applyBorder="1" applyAlignment="1">
      <alignment/>
    </xf>
    <xf numFmtId="165" fontId="13" fillId="0" borderId="7" xfId="0" applyNumberFormat="1" applyFont="1" applyFill="1" applyBorder="1" applyAlignment="1">
      <alignment horizontal="center"/>
    </xf>
    <xf numFmtId="165" fontId="13" fillId="0" borderId="32" xfId="0" applyNumberFormat="1" applyFont="1" applyFill="1" applyBorder="1" applyAlignment="1">
      <alignment horizontal="center"/>
    </xf>
    <xf numFmtId="164" fontId="13" fillId="0" borderId="33" xfId="0" applyFont="1" applyFill="1" applyBorder="1" applyAlignment="1">
      <alignment/>
    </xf>
    <xf numFmtId="165" fontId="13" fillId="0" borderId="34" xfId="0" applyNumberFormat="1" applyFont="1" applyFill="1" applyBorder="1" applyAlignment="1">
      <alignment horizontal="center"/>
    </xf>
    <xf numFmtId="164" fontId="13" fillId="0" borderId="34" xfId="0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/>
    </xf>
    <xf numFmtId="165" fontId="5" fillId="0" borderId="29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/>
    </xf>
    <xf numFmtId="167" fontId="5" fillId="0" borderId="2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13" fillId="0" borderId="3" xfId="0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/>
    </xf>
    <xf numFmtId="164" fontId="13" fillId="0" borderId="23" xfId="0" applyFont="1" applyFill="1" applyBorder="1" applyAlignment="1">
      <alignment/>
    </xf>
    <xf numFmtId="164" fontId="13" fillId="0" borderId="21" xfId="0" applyFont="1" applyFill="1" applyBorder="1" applyAlignment="1">
      <alignment/>
    </xf>
    <xf numFmtId="164" fontId="13" fillId="0" borderId="35" xfId="0" applyFont="1" applyFill="1" applyBorder="1" applyAlignment="1">
      <alignment/>
    </xf>
    <xf numFmtId="164" fontId="13" fillId="0" borderId="36" xfId="0" applyFont="1" applyFill="1" applyBorder="1" applyAlignment="1">
      <alignment/>
    </xf>
    <xf numFmtId="168" fontId="13" fillId="0" borderId="34" xfId="0" applyNumberFormat="1" applyFont="1" applyFill="1" applyBorder="1" applyAlignment="1">
      <alignment/>
    </xf>
    <xf numFmtId="168" fontId="13" fillId="0" borderId="37" xfId="0" applyNumberFormat="1" applyFont="1" applyFill="1" applyBorder="1" applyAlignment="1">
      <alignment/>
    </xf>
    <xf numFmtId="164" fontId="13" fillId="0" borderId="38" xfId="0" applyFont="1" applyFill="1" applyBorder="1" applyAlignment="1">
      <alignment/>
    </xf>
    <xf numFmtId="164" fontId="13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&#1041;&#1070;&#1044;&#1046;&#1045;&#1058;%202020%20%20&#1047;&#1040;&#1058;&#1042;&#1045;&#1056;&#1044;&#1046;&#1045;&#1053;&#1048;&#1049;\&#1064;&#1058;&#1040;&#1058;&#1053;&#1030;%20&#1056;&#1054;&#1047;&#1055;&#1048;&#1057;&#1048;%202020\&#1096;&#1090;&#1072;&#1090;&#1082;&#1072;%20&#1052;&#1045;&#1058;&#1054;&#1044;&#1050;&#1040;&#1041;\&#1085;&#1086;&#1074;.&#1096;&#1090;.&#1088;&#1086;&#1079;.%20&#1085;&#1072;%201.09.13%20&#1086;&#1089;.&#1079;%20&#1090;&#1072;&#1088;&#1080;&#1092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%20&#1041;&#1070;&#1044;&#1046;&#1045;&#1058;%202020%20%20&#1047;&#1040;&#1058;&#1042;&#1045;&#1056;&#1044;&#1046;&#1045;&#1053;&#1048;&#1049;\&#1064;&#1058;&#1040;&#1058;&#1053;&#1030;%20&#1056;&#1054;&#1047;&#1055;&#1048;&#1057;&#1048;%202020\&#1096;&#1090;&#1072;&#1090;&#1082;&#1072;%20&#1052;&#1045;&#1058;&#1054;&#1044;&#1050;&#1040;&#1041;\&#1090;&#1072;&#1088;&#1080;&#1092;&#1110;&#1082;&#1072;&#1094;&#1110;&#1103;%20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ші (2)з 01.09.13"/>
      <sheetName val="ДНЗ з 01.09.13"/>
      <sheetName val="школи з 01.09.13"/>
    </sheetNames>
    <sheetDataSet>
      <sheetData sheetId="1">
        <row r="732">
          <cell r="F732">
            <v>23.25</v>
          </cell>
        </row>
        <row r="733">
          <cell r="F733">
            <v>58.25</v>
          </cell>
        </row>
        <row r="735">
          <cell r="F735">
            <v>15</v>
          </cell>
        </row>
        <row r="736">
          <cell r="F736">
            <v>14</v>
          </cell>
        </row>
        <row r="737">
          <cell r="F737">
            <v>127</v>
          </cell>
        </row>
        <row r="738">
          <cell r="F738">
            <v>21.25</v>
          </cell>
        </row>
        <row r="739">
          <cell r="F739">
            <v>28</v>
          </cell>
        </row>
        <row r="740">
          <cell r="F740">
            <v>18.5</v>
          </cell>
        </row>
        <row r="741">
          <cell r="F741">
            <v>11.5</v>
          </cell>
        </row>
        <row r="742">
          <cell r="F742">
            <v>6</v>
          </cell>
        </row>
        <row r="743">
          <cell r="F743">
            <v>4.5</v>
          </cell>
        </row>
        <row r="744">
          <cell r="F744">
            <v>0.5</v>
          </cell>
        </row>
        <row r="745">
          <cell r="F745" t="e">
            <v>#VALUE!</v>
          </cell>
        </row>
      </sheetData>
      <sheetData sheetId="2">
        <row r="135">
          <cell r="D135">
            <v>2062</v>
          </cell>
        </row>
        <row r="739">
          <cell r="F739">
            <v>23</v>
          </cell>
        </row>
        <row r="740">
          <cell r="F740">
            <v>103.5</v>
          </cell>
        </row>
        <row r="741">
          <cell r="F741">
            <v>3</v>
          </cell>
        </row>
        <row r="742">
          <cell r="F742">
            <v>7.75</v>
          </cell>
        </row>
        <row r="743">
          <cell r="F743">
            <v>23.5</v>
          </cell>
        </row>
        <row r="744">
          <cell r="F744">
            <v>11.5</v>
          </cell>
        </row>
        <row r="746">
          <cell r="F746">
            <v>14</v>
          </cell>
        </row>
        <row r="747">
          <cell r="F747">
            <v>17</v>
          </cell>
        </row>
        <row r="748">
          <cell r="F748">
            <v>4.5</v>
          </cell>
        </row>
        <row r="749">
          <cell r="F749">
            <v>7.5</v>
          </cell>
        </row>
        <row r="750">
          <cell r="F750">
            <v>5</v>
          </cell>
        </row>
        <row r="751">
          <cell r="F751">
            <v>4</v>
          </cell>
        </row>
        <row r="752">
          <cell r="F752">
            <v>15.5</v>
          </cell>
        </row>
        <row r="753">
          <cell r="F75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.ть вар. та інвар.годин"/>
      <sheetName val="звед.з.пл."/>
      <sheetName val="ставки"/>
      <sheetName val="ДНЗ"/>
      <sheetName val="ШКОЛИ та ін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426"/>
  <sheetViews>
    <sheetView tabSelected="1" zoomScale="75" zoomScaleNormal="75" workbookViewId="0" topLeftCell="A1">
      <selection activeCell="T9" sqref="T9"/>
    </sheetView>
  </sheetViews>
  <sheetFormatPr defaultColWidth="8.00390625" defaultRowHeight="12.75"/>
  <cols>
    <col min="1" max="1" width="3.375" style="1" customWidth="1"/>
    <col min="2" max="2" width="20.25390625" style="1" customWidth="1"/>
    <col min="3" max="3" width="6.00390625" style="1" customWidth="1"/>
    <col min="4" max="4" width="8.625" style="1" customWidth="1"/>
    <col min="5" max="5" width="5.125" style="1" customWidth="1"/>
    <col min="6" max="6" width="9.75390625" style="1" customWidth="1"/>
    <col min="7" max="9" width="10.75390625" style="1" customWidth="1"/>
    <col min="10" max="11" width="9.875" style="1" customWidth="1"/>
    <col min="12" max="12" width="12.375" style="1" customWidth="1"/>
    <col min="13" max="13" width="10.375" style="1" customWidth="1"/>
    <col min="14" max="14" width="6.375" style="1" customWidth="1"/>
    <col min="15" max="15" width="7.875" style="1" hidden="1" customWidth="1"/>
    <col min="16" max="16" width="5.375" style="1" hidden="1" customWidth="1"/>
    <col min="17" max="17" width="8.625" style="1" hidden="1" customWidth="1"/>
    <col min="18" max="18" width="12.875" style="1" customWidth="1"/>
    <col min="19" max="19" width="0.12890625" style="1" customWidth="1"/>
    <col min="20" max="20" width="17.00390625" style="1" customWidth="1"/>
    <col min="21" max="21" width="10.00390625" style="1" hidden="1" customWidth="1"/>
    <col min="22" max="22" width="7.875" style="1" hidden="1" customWidth="1"/>
    <col min="23" max="23" width="9.00390625" style="1" hidden="1" customWidth="1"/>
    <col min="24" max="24" width="16.00390625" style="1" hidden="1" customWidth="1"/>
    <col min="25" max="25" width="7.875" style="1" hidden="1" customWidth="1"/>
    <col min="26" max="27" width="11.75390625" style="1" hidden="1" customWidth="1"/>
    <col min="28" max="28" width="8.375" style="1" hidden="1" customWidth="1"/>
    <col min="29" max="29" width="6.625" style="1" hidden="1" customWidth="1"/>
    <col min="30" max="30" width="7.125" style="1" hidden="1" customWidth="1"/>
    <col min="31" max="31" width="12.625" style="1" hidden="1" customWidth="1"/>
    <col min="32" max="32" width="7.625" style="1" hidden="1" customWidth="1"/>
    <col min="33" max="33" width="5.75390625" style="1" customWidth="1"/>
    <col min="34" max="34" width="10.75390625" style="1" customWidth="1"/>
    <col min="35" max="35" width="12.625" style="1" customWidth="1"/>
    <col min="36" max="36" width="12.75390625" style="1" customWidth="1"/>
    <col min="37" max="37" width="9.125" style="1" customWidth="1"/>
    <col min="38" max="38" width="9.875" style="1" customWidth="1"/>
    <col min="39" max="16384" width="9.125" style="1" customWidth="1"/>
  </cols>
  <sheetData>
    <row r="1" spans="1:20" ht="2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 t="s">
        <v>0</v>
      </c>
      <c r="N2" s="6"/>
      <c r="O2" s="6"/>
      <c r="P2" s="6"/>
      <c r="Q2" s="6"/>
      <c r="R2" s="6"/>
      <c r="S2" s="4"/>
      <c r="T2" s="4"/>
    </row>
    <row r="3" spans="1:20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7"/>
      <c r="M3" s="8" t="s">
        <v>1</v>
      </c>
      <c r="N3" s="8"/>
      <c r="O3" s="8"/>
      <c r="P3" s="8"/>
      <c r="Q3" s="8"/>
      <c r="R3" s="8"/>
      <c r="S3" s="8"/>
      <c r="T3" s="8"/>
    </row>
    <row r="4" spans="1:20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9" t="s">
        <v>2</v>
      </c>
      <c r="N4" s="9"/>
      <c r="O4" s="9"/>
      <c r="P4" s="9"/>
      <c r="Q4" s="9"/>
      <c r="R4" s="9"/>
      <c r="S4" s="9"/>
      <c r="T4" s="9"/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9" t="s">
        <v>3</v>
      </c>
      <c r="N5" s="9"/>
      <c r="O5" s="9"/>
      <c r="P5" s="9"/>
      <c r="Q5" s="9"/>
      <c r="R5" s="9"/>
      <c r="S5" s="9"/>
      <c r="T5" s="9"/>
      <c r="U5" s="10"/>
    </row>
    <row r="6" spans="1:25" ht="15.75">
      <c r="A6" s="4"/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4"/>
      <c r="M6" s="9" t="s">
        <v>5</v>
      </c>
      <c r="N6" s="9"/>
      <c r="O6" s="9"/>
      <c r="P6" s="9"/>
      <c r="Q6" s="9"/>
      <c r="R6" s="9"/>
      <c r="S6" s="12"/>
      <c r="T6" s="13">
        <f>C34</f>
        <v>5</v>
      </c>
      <c r="X6" s="14"/>
      <c r="Y6" s="14"/>
    </row>
    <row r="7" spans="1:20" ht="18.75">
      <c r="A7" s="4"/>
      <c r="B7" s="15" t="s">
        <v>6</v>
      </c>
      <c r="C7" s="15"/>
      <c r="D7" s="15"/>
      <c r="E7" s="15"/>
      <c r="F7" s="15"/>
      <c r="G7" s="15"/>
      <c r="H7" s="15"/>
      <c r="I7" s="15"/>
      <c r="J7" s="15"/>
      <c r="K7" s="15"/>
      <c r="L7" s="4"/>
      <c r="M7" s="5" t="s">
        <v>7</v>
      </c>
      <c r="N7" s="5"/>
      <c r="O7" s="5"/>
      <c r="P7" s="5"/>
      <c r="Q7" s="5"/>
      <c r="R7" s="5"/>
      <c r="S7" s="5"/>
      <c r="T7" s="13">
        <f>R34</f>
        <v>80813.75499999999</v>
      </c>
    </row>
    <row r="8" spans="1:20" ht="15.75">
      <c r="A8" s="4"/>
      <c r="B8" s="6" t="s">
        <v>8</v>
      </c>
      <c r="C8" s="6"/>
      <c r="D8" s="6"/>
      <c r="E8" s="6"/>
      <c r="F8" s="6"/>
      <c r="G8" s="6"/>
      <c r="H8" s="6"/>
      <c r="I8" s="6"/>
      <c r="J8" s="6"/>
      <c r="K8" s="6"/>
      <c r="L8" s="4"/>
      <c r="M8" s="4"/>
      <c r="N8" s="16"/>
      <c r="O8" s="16"/>
      <c r="P8" s="16"/>
      <c r="Q8" s="16"/>
      <c r="R8" s="16"/>
      <c r="S8" s="16"/>
      <c r="T8" s="17" t="s">
        <v>9</v>
      </c>
    </row>
    <row r="9" spans="1:20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6"/>
      <c r="O9" s="16"/>
      <c r="P9" s="16"/>
      <c r="Q9" s="16"/>
      <c r="R9" s="16"/>
      <c r="S9" s="16"/>
      <c r="T9" s="4"/>
    </row>
    <row r="10" spans="1:24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X10" s="1" t="s">
        <v>10</v>
      </c>
    </row>
    <row r="11" spans="1:20" ht="6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37" ht="34.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2" t="s">
        <v>16</v>
      </c>
      <c r="G12" s="22" t="s">
        <v>17</v>
      </c>
      <c r="H12" s="23" t="s">
        <v>18</v>
      </c>
      <c r="I12" s="23"/>
      <c r="J12" s="23"/>
      <c r="K12" s="23"/>
      <c r="L12" s="24" t="s">
        <v>19</v>
      </c>
      <c r="M12" s="24" t="s">
        <v>20</v>
      </c>
      <c r="N12" s="25"/>
      <c r="O12" s="26"/>
      <c r="P12" s="27"/>
      <c r="Q12" s="28"/>
      <c r="R12" s="29" t="s">
        <v>21</v>
      </c>
      <c r="S12" s="30"/>
      <c r="T12" s="31" t="s">
        <v>22</v>
      </c>
      <c r="W12" s="32"/>
      <c r="X12" s="33" t="e">
        <f>K34+J34+M34+P34+#REF!+#REF!+#REF!+#REF!</f>
        <v>#REF!</v>
      </c>
      <c r="Y12" s="34"/>
      <c r="Z12" s="35"/>
      <c r="AA12" s="34"/>
      <c r="AB12" s="32"/>
      <c r="AC12" s="32"/>
      <c r="AD12" s="32"/>
      <c r="AE12" s="32"/>
      <c r="AF12" s="32"/>
      <c r="AG12" s="32"/>
      <c r="AH12" s="32"/>
      <c r="AI12" s="34"/>
      <c r="AJ12" s="34"/>
      <c r="AK12" s="34"/>
    </row>
    <row r="13" spans="1:37" ht="32.25" customHeight="1">
      <c r="A13" s="18"/>
      <c r="B13" s="36" t="s">
        <v>23</v>
      </c>
      <c r="C13" s="37" t="s">
        <v>24</v>
      </c>
      <c r="D13" s="21"/>
      <c r="E13" s="21"/>
      <c r="F13" s="22"/>
      <c r="G13" s="22"/>
      <c r="H13" s="38" t="s">
        <v>25</v>
      </c>
      <c r="I13" s="38"/>
      <c r="J13" s="39" t="s">
        <v>26</v>
      </c>
      <c r="K13" s="40" t="s">
        <v>27</v>
      </c>
      <c r="L13" s="24"/>
      <c r="M13" s="24"/>
      <c r="N13" s="25"/>
      <c r="O13" s="41"/>
      <c r="P13" s="42"/>
      <c r="Q13" s="43"/>
      <c r="R13" s="44" t="s">
        <v>28</v>
      </c>
      <c r="S13" s="30"/>
      <c r="T13" s="45" t="s">
        <v>28</v>
      </c>
      <c r="W13" s="32"/>
      <c r="X13" s="34"/>
      <c r="Y13" s="34"/>
      <c r="Z13" s="35"/>
      <c r="AA13" s="35"/>
      <c r="AB13" s="46"/>
      <c r="AC13" s="35"/>
      <c r="AD13" s="35"/>
      <c r="AE13" s="46"/>
      <c r="AF13" s="46"/>
      <c r="AG13" s="46"/>
      <c r="AH13" s="46"/>
      <c r="AI13" s="34"/>
      <c r="AJ13" s="34"/>
      <c r="AK13" s="34"/>
    </row>
    <row r="14" spans="1:37" ht="15.75">
      <c r="A14" s="18"/>
      <c r="B14" s="44"/>
      <c r="C14" s="37" t="s">
        <v>29</v>
      </c>
      <c r="D14" s="21"/>
      <c r="E14" s="21"/>
      <c r="F14" s="22"/>
      <c r="G14" s="22"/>
      <c r="H14" s="38"/>
      <c r="I14" s="38"/>
      <c r="J14" s="39"/>
      <c r="K14" s="40"/>
      <c r="L14" s="24"/>
      <c r="M14" s="24"/>
      <c r="N14" s="25"/>
      <c r="O14" s="41"/>
      <c r="P14" s="42"/>
      <c r="Q14" s="43"/>
      <c r="R14" s="47" t="s">
        <v>30</v>
      </c>
      <c r="S14" s="30"/>
      <c r="T14" s="45" t="s">
        <v>31</v>
      </c>
      <c r="W14" s="32"/>
      <c r="X14" s="34"/>
      <c r="Y14" s="34"/>
      <c r="Z14" s="35"/>
      <c r="AA14" s="35"/>
      <c r="AB14" s="35"/>
      <c r="AC14" s="35"/>
      <c r="AD14" s="35"/>
      <c r="AE14" s="35"/>
      <c r="AF14" s="35"/>
      <c r="AG14" s="35"/>
      <c r="AH14" s="35"/>
      <c r="AI14" s="48"/>
      <c r="AJ14" s="34"/>
      <c r="AK14" s="34"/>
    </row>
    <row r="15" spans="1:37" ht="15.75" customHeight="1">
      <c r="A15" s="49"/>
      <c r="B15" s="44"/>
      <c r="C15" s="44"/>
      <c r="D15" s="21"/>
      <c r="E15" s="21"/>
      <c r="F15" s="22"/>
      <c r="G15" s="22"/>
      <c r="H15" s="38"/>
      <c r="I15" s="38"/>
      <c r="J15" s="39"/>
      <c r="K15" s="40"/>
      <c r="L15" s="24"/>
      <c r="M15" s="24"/>
      <c r="N15" s="25"/>
      <c r="O15" s="41"/>
      <c r="P15" s="42"/>
      <c r="Q15" s="43"/>
      <c r="R15" s="47" t="s">
        <v>9</v>
      </c>
      <c r="S15" s="30"/>
      <c r="T15" s="45" t="s">
        <v>9</v>
      </c>
      <c r="W15" s="32"/>
      <c r="X15" s="34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48"/>
      <c r="AJ15" s="34"/>
      <c r="AK15" s="34"/>
    </row>
    <row r="16" spans="1:38" ht="78" customHeight="1">
      <c r="A16" s="50"/>
      <c r="B16" s="51"/>
      <c r="C16" s="51"/>
      <c r="D16" s="21"/>
      <c r="E16" s="21"/>
      <c r="F16" s="22"/>
      <c r="G16" s="22"/>
      <c r="H16" s="38"/>
      <c r="I16" s="38"/>
      <c r="J16" s="39"/>
      <c r="K16" s="40"/>
      <c r="L16" s="24"/>
      <c r="M16" s="24"/>
      <c r="N16" s="25"/>
      <c r="O16" s="41"/>
      <c r="P16" s="42"/>
      <c r="Q16" s="43"/>
      <c r="R16" s="52"/>
      <c r="S16" s="30"/>
      <c r="T16" s="53"/>
      <c r="W16" s="32"/>
      <c r="X16" s="34"/>
      <c r="Y16" s="34"/>
      <c r="Z16" s="35"/>
      <c r="AA16" s="35"/>
      <c r="AB16" s="35"/>
      <c r="AC16" s="35"/>
      <c r="AD16" s="35"/>
      <c r="AE16" s="35"/>
      <c r="AF16" s="35"/>
      <c r="AG16" s="35"/>
      <c r="AH16" s="35"/>
      <c r="AI16" s="48"/>
      <c r="AJ16" s="34"/>
      <c r="AK16" s="34"/>
      <c r="AL16" s="54"/>
    </row>
    <row r="17" spans="1:37" ht="64.5" customHeight="1" hidden="1">
      <c r="A17" s="55">
        <v>1</v>
      </c>
      <c r="B17" s="56"/>
      <c r="C17" s="57"/>
      <c r="D17" s="58"/>
      <c r="E17" s="59"/>
      <c r="F17" s="59"/>
      <c r="G17" s="60"/>
      <c r="H17" s="61"/>
      <c r="I17" s="61"/>
      <c r="J17" s="62"/>
      <c r="K17" s="63"/>
      <c r="L17" s="63"/>
      <c r="M17" s="60"/>
      <c r="N17" s="60"/>
      <c r="O17" s="60"/>
      <c r="P17" s="64"/>
      <c r="Q17" s="60"/>
      <c r="R17" s="65"/>
      <c r="S17" s="65"/>
      <c r="T17" s="65"/>
      <c r="W17" s="34"/>
      <c r="X17" s="66"/>
      <c r="Y17" s="34"/>
      <c r="Z17" s="33"/>
      <c r="AA17" s="67"/>
      <c r="AB17" s="68"/>
      <c r="AC17" s="68"/>
      <c r="AD17" s="68"/>
      <c r="AE17" s="67"/>
      <c r="AF17" s="68"/>
      <c r="AG17" s="68"/>
      <c r="AH17" s="68"/>
      <c r="AI17" s="33"/>
      <c r="AJ17" s="33"/>
      <c r="AK17" s="34"/>
    </row>
    <row r="18" spans="1:37" ht="35.25" customHeight="1">
      <c r="A18" s="69">
        <v>1</v>
      </c>
      <c r="B18" s="70" t="s">
        <v>32</v>
      </c>
      <c r="C18" s="69">
        <v>3</v>
      </c>
      <c r="D18" s="71">
        <v>6461</v>
      </c>
      <c r="E18" s="72">
        <v>14</v>
      </c>
      <c r="F18" s="73">
        <f aca="true" t="shared" si="0" ref="F18:F27">D18*C18</f>
        <v>19383</v>
      </c>
      <c r="G18" s="73">
        <f aca="true" t="shared" si="1" ref="G18:G27">F18*10%</f>
        <v>1938.3000000000002</v>
      </c>
      <c r="H18" s="74">
        <f>D18*10%*C18</f>
        <v>1938.3000000000002</v>
      </c>
      <c r="I18" s="74"/>
      <c r="J18" s="75">
        <f>(F18+G18+H18+I18)*20%</f>
        <v>4651.92</v>
      </c>
      <c r="K18" s="76">
        <f aca="true" t="shared" si="2" ref="K18:K19">(F18+G18+H18+I18)*10%</f>
        <v>2325.96</v>
      </c>
      <c r="L18" s="76">
        <f aca="true" t="shared" si="3" ref="L18:L19">F18*50%</f>
        <v>9691.5</v>
      </c>
      <c r="M18" s="77">
        <f>(F18+L18)*45%</f>
        <v>13083.525</v>
      </c>
      <c r="N18" s="77"/>
      <c r="O18" s="78"/>
      <c r="P18" s="79"/>
      <c r="Q18" s="78"/>
      <c r="R18" s="80">
        <f aca="true" t="shared" si="4" ref="R18:R27">F18+G18+H18+I18+J18+K18+L18+M18+N18</f>
        <v>53012.505</v>
      </c>
      <c r="S18" s="80"/>
      <c r="T18" s="80">
        <f aca="true" t="shared" si="5" ref="T18:T33">R18*11+R18*1.083+F18+F18*10%</f>
        <v>661871.397915</v>
      </c>
      <c r="U18" s="54"/>
      <c r="W18" s="34"/>
      <c r="X18" s="66"/>
      <c r="Y18" s="34"/>
      <c r="Z18" s="33"/>
      <c r="AA18" s="67"/>
      <c r="AB18" s="34"/>
      <c r="AC18" s="34"/>
      <c r="AD18" s="34"/>
      <c r="AE18" s="68"/>
      <c r="AF18" s="34"/>
      <c r="AG18" s="34"/>
      <c r="AH18" s="34"/>
      <c r="AI18" s="33"/>
      <c r="AJ18" s="33"/>
      <c r="AK18" s="34"/>
    </row>
    <row r="19" spans="1:37" ht="55.5" customHeight="1">
      <c r="A19" s="69">
        <v>2</v>
      </c>
      <c r="B19" s="70" t="s">
        <v>32</v>
      </c>
      <c r="C19" s="69">
        <v>1</v>
      </c>
      <c r="D19" s="71">
        <v>5660</v>
      </c>
      <c r="E19" s="72">
        <v>12</v>
      </c>
      <c r="F19" s="73">
        <f t="shared" si="0"/>
        <v>5660</v>
      </c>
      <c r="G19" s="73">
        <f t="shared" si="1"/>
        <v>566</v>
      </c>
      <c r="H19" s="74">
        <f>D18*10%*C19</f>
        <v>646.1</v>
      </c>
      <c r="I19" s="74"/>
      <c r="J19" s="75">
        <f>(F19+G19+H19+I19)*10%</f>
        <v>687.21</v>
      </c>
      <c r="K19" s="76">
        <f t="shared" si="2"/>
        <v>687.21</v>
      </c>
      <c r="L19" s="76">
        <f t="shared" si="3"/>
        <v>2830</v>
      </c>
      <c r="M19" s="77">
        <f aca="true" t="shared" si="6" ref="M19:M27">(F19+L19)*35%</f>
        <v>2971.5</v>
      </c>
      <c r="N19" s="77"/>
      <c r="O19" s="78"/>
      <c r="P19" s="79"/>
      <c r="Q19" s="78"/>
      <c r="R19" s="80">
        <f t="shared" si="4"/>
        <v>14048.02</v>
      </c>
      <c r="S19" s="80"/>
      <c r="T19" s="80">
        <f t="shared" si="5"/>
        <v>175968.22566</v>
      </c>
      <c r="W19" s="34"/>
      <c r="X19" s="66"/>
      <c r="Y19" s="34"/>
      <c r="Z19" s="33"/>
      <c r="AA19" s="67"/>
      <c r="AB19" s="34"/>
      <c r="AC19" s="34"/>
      <c r="AD19" s="34"/>
      <c r="AE19" s="34"/>
      <c r="AF19" s="34"/>
      <c r="AG19" s="34"/>
      <c r="AH19" s="34"/>
      <c r="AI19" s="33"/>
      <c r="AJ19" s="33"/>
      <c r="AK19" s="34"/>
    </row>
    <row r="20" spans="1:37" ht="1.5" customHeight="1" hidden="1">
      <c r="A20" s="69"/>
      <c r="B20" s="70" t="s">
        <v>32</v>
      </c>
      <c r="C20" s="69"/>
      <c r="D20" s="71"/>
      <c r="E20" s="72" t="s">
        <v>33</v>
      </c>
      <c r="F20" s="73">
        <f t="shared" si="0"/>
        <v>0</v>
      </c>
      <c r="G20" s="73">
        <f t="shared" si="1"/>
        <v>0</v>
      </c>
      <c r="H20" s="74">
        <f aca="true" t="shared" si="7" ref="H20:H27">4649*10%*C20</f>
        <v>0</v>
      </c>
      <c r="I20" s="74"/>
      <c r="J20" s="75">
        <f aca="true" t="shared" si="8" ref="J20:J27">(F20+G20+H20+I20)*20%</f>
        <v>0</v>
      </c>
      <c r="K20" s="76"/>
      <c r="L20" s="76"/>
      <c r="M20" s="77">
        <f t="shared" si="6"/>
        <v>0</v>
      </c>
      <c r="N20" s="78"/>
      <c r="O20" s="78"/>
      <c r="P20" s="79"/>
      <c r="Q20" s="78"/>
      <c r="R20" s="80">
        <f t="shared" si="4"/>
        <v>0</v>
      </c>
      <c r="S20" s="80"/>
      <c r="T20" s="80">
        <f t="shared" si="5"/>
        <v>0</v>
      </c>
      <c r="W20" s="34"/>
      <c r="X20" s="66"/>
      <c r="Y20" s="34"/>
      <c r="Z20" s="33"/>
      <c r="AA20" s="67"/>
      <c r="AB20" s="34"/>
      <c r="AC20" s="34"/>
      <c r="AD20" s="34"/>
      <c r="AE20" s="34"/>
      <c r="AF20" s="34"/>
      <c r="AG20" s="34"/>
      <c r="AH20" s="34"/>
      <c r="AI20" s="33"/>
      <c r="AJ20" s="33"/>
      <c r="AK20" s="34"/>
    </row>
    <row r="21" spans="1:37" ht="36" customHeight="1" hidden="1">
      <c r="A21" s="69"/>
      <c r="B21" s="70" t="s">
        <v>32</v>
      </c>
      <c r="C21" s="69"/>
      <c r="D21" s="71"/>
      <c r="E21" s="72"/>
      <c r="F21" s="73">
        <f t="shared" si="0"/>
        <v>0</v>
      </c>
      <c r="G21" s="73">
        <f t="shared" si="1"/>
        <v>0</v>
      </c>
      <c r="H21" s="74">
        <f t="shared" si="7"/>
        <v>0</v>
      </c>
      <c r="I21" s="74"/>
      <c r="J21" s="75">
        <f t="shared" si="8"/>
        <v>0</v>
      </c>
      <c r="K21" s="81"/>
      <c r="L21" s="81"/>
      <c r="M21" s="77">
        <f t="shared" si="6"/>
        <v>0</v>
      </c>
      <c r="N21" s="78"/>
      <c r="O21" s="78"/>
      <c r="P21" s="79"/>
      <c r="Q21" s="78"/>
      <c r="R21" s="80">
        <f t="shared" si="4"/>
        <v>0</v>
      </c>
      <c r="S21" s="80"/>
      <c r="T21" s="80">
        <f t="shared" si="5"/>
        <v>0</v>
      </c>
      <c r="W21" s="34"/>
      <c r="X21" s="66"/>
      <c r="Y21" s="34"/>
      <c r="Z21" s="33"/>
      <c r="AA21" s="67"/>
      <c r="AB21" s="34"/>
      <c r="AC21" s="34"/>
      <c r="AD21" s="34"/>
      <c r="AE21" s="34"/>
      <c r="AF21" s="34"/>
      <c r="AG21" s="34"/>
      <c r="AH21" s="33"/>
      <c r="AI21" s="33"/>
      <c r="AJ21" s="33"/>
      <c r="AK21" s="34"/>
    </row>
    <row r="22" spans="1:37" ht="53.25" customHeight="1" hidden="1">
      <c r="A22" s="69"/>
      <c r="B22" s="70" t="s">
        <v>32</v>
      </c>
      <c r="C22" s="69"/>
      <c r="D22" s="71"/>
      <c r="E22" s="72"/>
      <c r="F22" s="73">
        <f t="shared" si="0"/>
        <v>0</v>
      </c>
      <c r="G22" s="73">
        <f t="shared" si="1"/>
        <v>0</v>
      </c>
      <c r="H22" s="74">
        <f t="shared" si="7"/>
        <v>0</v>
      </c>
      <c r="I22" s="74"/>
      <c r="J22" s="75">
        <f t="shared" si="8"/>
        <v>0</v>
      </c>
      <c r="K22" s="81"/>
      <c r="L22" s="81"/>
      <c r="M22" s="77">
        <f t="shared" si="6"/>
        <v>0</v>
      </c>
      <c r="N22" s="78"/>
      <c r="O22" s="78"/>
      <c r="P22" s="79"/>
      <c r="Q22" s="78"/>
      <c r="R22" s="80">
        <f t="shared" si="4"/>
        <v>0</v>
      </c>
      <c r="S22" s="80"/>
      <c r="T22" s="80">
        <f t="shared" si="5"/>
        <v>0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ht="45.75" customHeight="1" hidden="1">
      <c r="A23" s="69"/>
      <c r="B23" s="70" t="s">
        <v>32</v>
      </c>
      <c r="C23" s="69"/>
      <c r="D23" s="71"/>
      <c r="E23" s="72"/>
      <c r="F23" s="73">
        <f t="shared" si="0"/>
        <v>0</v>
      </c>
      <c r="G23" s="73">
        <f t="shared" si="1"/>
        <v>0</v>
      </c>
      <c r="H23" s="74">
        <f t="shared" si="7"/>
        <v>0</v>
      </c>
      <c r="I23" s="74"/>
      <c r="J23" s="75">
        <f t="shared" si="8"/>
        <v>0</v>
      </c>
      <c r="K23" s="81"/>
      <c r="L23" s="81"/>
      <c r="M23" s="77">
        <f t="shared" si="6"/>
        <v>0</v>
      </c>
      <c r="N23" s="78"/>
      <c r="O23" s="78"/>
      <c r="P23" s="79"/>
      <c r="Q23" s="78"/>
      <c r="R23" s="80">
        <f t="shared" si="4"/>
        <v>0</v>
      </c>
      <c r="S23" s="80"/>
      <c r="T23" s="80">
        <f t="shared" si="5"/>
        <v>0</v>
      </c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7" ht="48" customHeight="1" hidden="1">
      <c r="A24" s="69"/>
      <c r="B24" s="70" t="s">
        <v>32</v>
      </c>
      <c r="C24" s="69"/>
      <c r="D24" s="71"/>
      <c r="E24" s="72"/>
      <c r="F24" s="73">
        <f t="shared" si="0"/>
        <v>0</v>
      </c>
      <c r="G24" s="73">
        <f t="shared" si="1"/>
        <v>0</v>
      </c>
      <c r="H24" s="74">
        <f t="shared" si="7"/>
        <v>0</v>
      </c>
      <c r="I24" s="82"/>
      <c r="J24" s="75">
        <f t="shared" si="8"/>
        <v>0</v>
      </c>
      <c r="K24" s="81"/>
      <c r="L24" s="81"/>
      <c r="M24" s="77">
        <f t="shared" si="6"/>
        <v>0</v>
      </c>
      <c r="N24" s="78"/>
      <c r="O24" s="78"/>
      <c r="P24" s="79"/>
      <c r="Q24" s="78"/>
      <c r="R24" s="80">
        <f t="shared" si="4"/>
        <v>0</v>
      </c>
      <c r="S24" s="80"/>
      <c r="T24" s="80">
        <f t="shared" si="5"/>
        <v>0</v>
      </c>
      <c r="W24" s="34"/>
      <c r="X24" s="66"/>
      <c r="Y24" s="34"/>
      <c r="Z24" s="33"/>
      <c r="AA24" s="34"/>
      <c r="AB24" s="34"/>
      <c r="AC24" s="34"/>
      <c r="AD24" s="34"/>
      <c r="AE24" s="34"/>
      <c r="AF24" s="34"/>
      <c r="AG24" s="34"/>
      <c r="AH24" s="34"/>
      <c r="AI24" s="33"/>
      <c r="AJ24" s="33"/>
      <c r="AK24" s="34"/>
    </row>
    <row r="25" spans="1:37" ht="59.25" customHeight="1" hidden="1">
      <c r="A25" s="69"/>
      <c r="B25" s="70" t="s">
        <v>32</v>
      </c>
      <c r="C25" s="69"/>
      <c r="D25" s="71"/>
      <c r="E25" s="72"/>
      <c r="F25" s="73">
        <f t="shared" si="0"/>
        <v>0</v>
      </c>
      <c r="G25" s="73">
        <f t="shared" si="1"/>
        <v>0</v>
      </c>
      <c r="H25" s="74">
        <f t="shared" si="7"/>
        <v>0</v>
      </c>
      <c r="I25" s="82"/>
      <c r="J25" s="75">
        <f t="shared" si="8"/>
        <v>0</v>
      </c>
      <c r="K25" s="81"/>
      <c r="L25" s="81"/>
      <c r="M25" s="77">
        <f t="shared" si="6"/>
        <v>0</v>
      </c>
      <c r="N25" s="78"/>
      <c r="O25" s="78"/>
      <c r="P25" s="79"/>
      <c r="Q25" s="78"/>
      <c r="R25" s="80">
        <f t="shared" si="4"/>
        <v>0</v>
      </c>
      <c r="S25" s="80"/>
      <c r="T25" s="80">
        <f t="shared" si="5"/>
        <v>0</v>
      </c>
      <c r="W25" s="34"/>
      <c r="X25" s="66"/>
      <c r="Y25" s="34"/>
      <c r="Z25" s="33"/>
      <c r="AA25" s="34"/>
      <c r="AB25" s="34"/>
      <c r="AC25" s="34"/>
      <c r="AD25" s="34"/>
      <c r="AE25" s="34"/>
      <c r="AF25" s="34"/>
      <c r="AG25" s="34"/>
      <c r="AH25" s="34"/>
      <c r="AI25" s="33"/>
      <c r="AJ25" s="33"/>
      <c r="AK25" s="34"/>
    </row>
    <row r="26" spans="1:37" ht="33" customHeight="1" hidden="1">
      <c r="A26" s="69"/>
      <c r="B26" s="70" t="s">
        <v>32</v>
      </c>
      <c r="C26" s="83"/>
      <c r="D26" s="58"/>
      <c r="E26" s="59"/>
      <c r="F26" s="73">
        <f t="shared" si="0"/>
        <v>0</v>
      </c>
      <c r="G26" s="73">
        <f t="shared" si="1"/>
        <v>0</v>
      </c>
      <c r="H26" s="74">
        <f t="shared" si="7"/>
        <v>0</v>
      </c>
      <c r="I26" s="84"/>
      <c r="J26" s="75">
        <f t="shared" si="8"/>
        <v>0</v>
      </c>
      <c r="K26" s="63"/>
      <c r="L26" s="63"/>
      <c r="M26" s="77">
        <f t="shared" si="6"/>
        <v>0</v>
      </c>
      <c r="N26" s="85"/>
      <c r="O26" s="85"/>
      <c r="P26" s="64"/>
      <c r="Q26" s="85"/>
      <c r="R26" s="80">
        <f t="shared" si="4"/>
        <v>0</v>
      </c>
      <c r="S26" s="65"/>
      <c r="T26" s="80">
        <f t="shared" si="5"/>
        <v>0</v>
      </c>
      <c r="W26" s="32"/>
      <c r="X26" s="32"/>
      <c r="Y26" s="34"/>
      <c r="Z26" s="34"/>
      <c r="AA26" s="33"/>
      <c r="AB26" s="34"/>
      <c r="AC26" s="34"/>
      <c r="AD26" s="34"/>
      <c r="AE26" s="34"/>
      <c r="AF26" s="34"/>
      <c r="AG26" s="34"/>
      <c r="AH26" s="34"/>
      <c r="AI26" s="33"/>
      <c r="AJ26" s="33"/>
      <c r="AK26" s="34"/>
    </row>
    <row r="27" spans="1:37" ht="33.75" customHeight="1" hidden="1">
      <c r="A27" s="69"/>
      <c r="B27" s="70" t="s">
        <v>32</v>
      </c>
      <c r="C27" s="69"/>
      <c r="D27" s="71"/>
      <c r="E27" s="72"/>
      <c r="F27" s="73">
        <f t="shared" si="0"/>
        <v>0</v>
      </c>
      <c r="G27" s="73">
        <f t="shared" si="1"/>
        <v>0</v>
      </c>
      <c r="H27" s="74">
        <f t="shared" si="7"/>
        <v>0</v>
      </c>
      <c r="I27" s="82"/>
      <c r="J27" s="75">
        <f t="shared" si="8"/>
        <v>0</v>
      </c>
      <c r="K27" s="76"/>
      <c r="L27" s="76"/>
      <c r="M27" s="77">
        <f t="shared" si="6"/>
        <v>0</v>
      </c>
      <c r="N27" s="78"/>
      <c r="O27" s="78"/>
      <c r="P27" s="78"/>
      <c r="Q27" s="78"/>
      <c r="R27" s="80">
        <f t="shared" si="4"/>
        <v>0</v>
      </c>
      <c r="S27" s="80"/>
      <c r="T27" s="80">
        <f t="shared" si="5"/>
        <v>0</v>
      </c>
      <c r="W27" s="34"/>
      <c r="X27" s="66"/>
      <c r="Y27" s="34"/>
      <c r="Z27" s="33"/>
      <c r="AA27" s="34"/>
      <c r="AB27" s="34"/>
      <c r="AC27" s="34"/>
      <c r="AD27" s="34"/>
      <c r="AE27" s="34"/>
      <c r="AF27" s="34"/>
      <c r="AG27" s="34"/>
      <c r="AH27" s="34"/>
      <c r="AI27" s="33"/>
      <c r="AJ27" s="33"/>
      <c r="AK27" s="34"/>
    </row>
    <row r="28" spans="1:37" ht="30" customHeight="1" hidden="1">
      <c r="A28" s="69">
        <v>3</v>
      </c>
      <c r="B28" s="70"/>
      <c r="C28" s="69"/>
      <c r="D28" s="71"/>
      <c r="E28" s="72"/>
      <c r="F28" s="73"/>
      <c r="G28" s="73"/>
      <c r="H28" s="74"/>
      <c r="I28" s="82"/>
      <c r="J28" s="75"/>
      <c r="K28" s="76"/>
      <c r="L28" s="76"/>
      <c r="M28" s="77"/>
      <c r="N28" s="78"/>
      <c r="O28" s="78"/>
      <c r="P28" s="79"/>
      <c r="Q28" s="78"/>
      <c r="R28" s="80"/>
      <c r="S28" s="80"/>
      <c r="T28" s="80">
        <f t="shared" si="5"/>
        <v>0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1:37" ht="47.25" customHeight="1" hidden="1">
      <c r="A29" s="69">
        <v>5</v>
      </c>
      <c r="B29" s="86" t="s">
        <v>34</v>
      </c>
      <c r="C29" s="69"/>
      <c r="D29" s="71"/>
      <c r="E29" s="72"/>
      <c r="F29" s="73">
        <f aca="true" t="shared" si="9" ref="F29:F33">D29*C29</f>
        <v>0</v>
      </c>
      <c r="G29" s="73">
        <f aca="true" t="shared" si="10" ref="G29:G33">F29*10%</f>
        <v>0</v>
      </c>
      <c r="H29" s="74">
        <f aca="true" t="shared" si="11" ref="H29:H32">4649*10%*C29</f>
        <v>0</v>
      </c>
      <c r="I29" s="82"/>
      <c r="J29" s="75">
        <f aca="true" t="shared" si="12" ref="J29:J32">(F29+G29+H29+I29)*10%</f>
        <v>0</v>
      </c>
      <c r="K29" s="76">
        <f aca="true" t="shared" si="13" ref="K29:K33">(F29+G29+H29+I29)*10%</f>
        <v>0</v>
      </c>
      <c r="L29" s="76">
        <f aca="true" t="shared" si="14" ref="L29:L33">F29*50%</f>
        <v>0</v>
      </c>
      <c r="M29" s="77">
        <f aca="true" t="shared" si="15" ref="M29:M33">(F29+L29)*35%</f>
        <v>0</v>
      </c>
      <c r="N29" s="78"/>
      <c r="O29" s="78"/>
      <c r="P29" s="79"/>
      <c r="Q29" s="78"/>
      <c r="R29" s="80">
        <f aca="true" t="shared" si="16" ref="R29:R33">F29+G29+H29+I29+J29+K29+L29+M29+N29</f>
        <v>0</v>
      </c>
      <c r="S29" s="80"/>
      <c r="T29" s="80">
        <f t="shared" si="5"/>
        <v>0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ht="60" customHeight="1" hidden="1">
      <c r="A30" s="69">
        <v>5</v>
      </c>
      <c r="B30" s="56"/>
      <c r="C30" s="83"/>
      <c r="D30" s="58"/>
      <c r="E30" s="59"/>
      <c r="F30" s="73">
        <f t="shared" si="9"/>
        <v>0</v>
      </c>
      <c r="G30" s="73">
        <f t="shared" si="10"/>
        <v>0</v>
      </c>
      <c r="H30" s="74">
        <f t="shared" si="11"/>
        <v>0</v>
      </c>
      <c r="I30" s="84"/>
      <c r="J30" s="75">
        <f t="shared" si="12"/>
        <v>0</v>
      </c>
      <c r="K30" s="76">
        <f t="shared" si="13"/>
        <v>0</v>
      </c>
      <c r="L30" s="76">
        <f t="shared" si="14"/>
        <v>0</v>
      </c>
      <c r="M30" s="77">
        <f t="shared" si="15"/>
        <v>0</v>
      </c>
      <c r="N30" s="85"/>
      <c r="O30" s="85"/>
      <c r="P30" s="64"/>
      <c r="Q30" s="85"/>
      <c r="R30" s="80">
        <f t="shared" si="16"/>
        <v>0</v>
      </c>
      <c r="S30" s="65"/>
      <c r="T30" s="80">
        <f t="shared" si="5"/>
        <v>0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37" ht="78" customHeight="1" hidden="1">
      <c r="A31" s="69">
        <v>6</v>
      </c>
      <c r="B31" s="87"/>
      <c r="C31" s="83"/>
      <c r="D31" s="58"/>
      <c r="E31" s="59"/>
      <c r="F31" s="73">
        <f t="shared" si="9"/>
        <v>0</v>
      </c>
      <c r="G31" s="73">
        <f t="shared" si="10"/>
        <v>0</v>
      </c>
      <c r="H31" s="74">
        <f t="shared" si="11"/>
        <v>0</v>
      </c>
      <c r="I31" s="84"/>
      <c r="J31" s="75">
        <f t="shared" si="12"/>
        <v>0</v>
      </c>
      <c r="K31" s="76">
        <f t="shared" si="13"/>
        <v>0</v>
      </c>
      <c r="L31" s="76">
        <f t="shared" si="14"/>
        <v>0</v>
      </c>
      <c r="M31" s="77">
        <f t="shared" si="15"/>
        <v>0</v>
      </c>
      <c r="N31" s="85"/>
      <c r="O31" s="85"/>
      <c r="P31" s="85"/>
      <c r="Q31" s="85"/>
      <c r="R31" s="80">
        <f t="shared" si="16"/>
        <v>0</v>
      </c>
      <c r="S31" s="65"/>
      <c r="T31" s="80">
        <f t="shared" si="5"/>
        <v>0</v>
      </c>
      <c r="W31" s="34"/>
      <c r="X31" s="34"/>
      <c r="Y31" s="34"/>
      <c r="Z31" s="34"/>
      <c r="AA31" s="88" t="e">
        <f>C17+C18+C26+C30+C31+#REF!</f>
        <v>#REF!</v>
      </c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37" ht="81" customHeight="1" hidden="1">
      <c r="A32" s="69">
        <v>7</v>
      </c>
      <c r="B32" s="89"/>
      <c r="C32" s="83"/>
      <c r="D32" s="90"/>
      <c r="E32" s="59"/>
      <c r="F32" s="73">
        <f t="shared" si="9"/>
        <v>0</v>
      </c>
      <c r="G32" s="73">
        <f t="shared" si="10"/>
        <v>0</v>
      </c>
      <c r="H32" s="74">
        <f t="shared" si="11"/>
        <v>0</v>
      </c>
      <c r="I32" s="91"/>
      <c r="J32" s="75">
        <f t="shared" si="12"/>
        <v>0</v>
      </c>
      <c r="K32" s="76">
        <f t="shared" si="13"/>
        <v>0</v>
      </c>
      <c r="L32" s="76">
        <f t="shared" si="14"/>
        <v>0</v>
      </c>
      <c r="M32" s="77">
        <f t="shared" si="15"/>
        <v>0</v>
      </c>
      <c r="N32" s="85"/>
      <c r="O32" s="85"/>
      <c r="P32" s="85"/>
      <c r="Q32" s="85"/>
      <c r="R32" s="80">
        <f t="shared" si="16"/>
        <v>0</v>
      </c>
      <c r="S32" s="65"/>
      <c r="T32" s="80">
        <f t="shared" si="5"/>
        <v>0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ht="53.25" customHeight="1">
      <c r="A33" s="92">
        <v>4</v>
      </c>
      <c r="B33" s="93" t="s">
        <v>35</v>
      </c>
      <c r="C33" s="69">
        <v>1</v>
      </c>
      <c r="D33" s="92">
        <v>5260</v>
      </c>
      <c r="E33" s="69">
        <v>11</v>
      </c>
      <c r="F33" s="73">
        <f t="shared" si="9"/>
        <v>5260</v>
      </c>
      <c r="G33" s="73">
        <f t="shared" si="10"/>
        <v>526</v>
      </c>
      <c r="H33" s="74">
        <f>D18*10%*C33</f>
        <v>646.1</v>
      </c>
      <c r="I33" s="94"/>
      <c r="J33" s="75">
        <f>(F33+G33+H33+I33)*20%</f>
        <v>1286.42</v>
      </c>
      <c r="K33" s="76">
        <f t="shared" si="13"/>
        <v>643.21</v>
      </c>
      <c r="L33" s="76">
        <f t="shared" si="14"/>
        <v>2630</v>
      </c>
      <c r="M33" s="77">
        <f t="shared" si="15"/>
        <v>2761.5</v>
      </c>
      <c r="N33" s="78"/>
      <c r="O33" s="78"/>
      <c r="P33" s="78"/>
      <c r="Q33" s="78"/>
      <c r="R33" s="80">
        <f t="shared" si="16"/>
        <v>13753.23</v>
      </c>
      <c r="S33" s="92"/>
      <c r="T33" s="80">
        <f t="shared" si="5"/>
        <v>171966.27809</v>
      </c>
      <c r="U33" s="54" t="s">
        <v>36</v>
      </c>
      <c r="W33" s="34"/>
      <c r="X33" s="34"/>
      <c r="Y33" s="34"/>
      <c r="Z33" s="2"/>
      <c r="AA33" s="34" t="e">
        <f>D17+D18*C18+D26*C26+D30+D31*C31+K17+K18+K26+K28+M18+M26+#REF!+#REF!</f>
        <v>#REF!</v>
      </c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spans="1:37" ht="30.75" customHeight="1">
      <c r="A34" s="92"/>
      <c r="B34" s="92" t="s">
        <v>37</v>
      </c>
      <c r="C34" s="95">
        <f>SUM(C17:C32)+C33</f>
        <v>5</v>
      </c>
      <c r="D34" s="95"/>
      <c r="E34" s="95"/>
      <c r="F34" s="95">
        <f>SUM(F17:F32)+F33</f>
        <v>30303</v>
      </c>
      <c r="G34" s="95">
        <f>SUM(G17:G32)+G33</f>
        <v>3030.3</v>
      </c>
      <c r="H34" s="95">
        <f>SUM(H17:H32)+H33</f>
        <v>3230.5</v>
      </c>
      <c r="I34" s="95">
        <f>SUM(I17:I32)+I33</f>
        <v>0</v>
      </c>
      <c r="J34" s="95">
        <f>SUM(J17:J32)+J33</f>
        <v>6625.55</v>
      </c>
      <c r="K34" s="95">
        <f>SUM(K17:K32)+K33</f>
        <v>3656.38</v>
      </c>
      <c r="L34" s="95">
        <f>SUM(L17:L32)+L33</f>
        <v>15151.5</v>
      </c>
      <c r="M34" s="95">
        <f>SUM(M17:M32)+M33</f>
        <v>18816.525</v>
      </c>
      <c r="N34" s="95">
        <f>SUM(N17:N32)+N33</f>
        <v>0</v>
      </c>
      <c r="O34" s="95">
        <f>SUM(O17:O32)+O33</f>
        <v>0</v>
      </c>
      <c r="P34" s="95">
        <f>SUM(P17:P32)+P33</f>
        <v>0</v>
      </c>
      <c r="Q34" s="95">
        <f>SUM(Q17:Q32)+Q33</f>
        <v>0</v>
      </c>
      <c r="R34" s="81">
        <f>SUM(R17:R32)+R33</f>
        <v>80813.75499999999</v>
      </c>
      <c r="S34" s="81">
        <f>SUM(S17:S32)+S33</f>
        <v>0</v>
      </c>
      <c r="T34" s="81">
        <f>T18+T19+T33</f>
        <v>1009805.901665</v>
      </c>
      <c r="U34" s="54" t="e">
        <f>R17+R18+R27+R30+R31+#REF!</f>
        <v>#REF!</v>
      </c>
      <c r="W34" s="34"/>
      <c r="X34" s="34"/>
      <c r="Y34" s="34"/>
      <c r="Z34" s="2"/>
      <c r="AA34" s="33">
        <f>D28+D29+K28+D32*C32</f>
        <v>0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4"/>
    </row>
    <row r="35" spans="1:36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21" ht="15.75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" t="s">
        <v>38</v>
      </c>
    </row>
    <row r="37" spans="1:20" ht="21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3"/>
    </row>
    <row r="38" spans="1:21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4">
        <f>R29+R28</f>
        <v>0</v>
      </c>
    </row>
    <row r="39" spans="1:24" ht="37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0" ht="14.25" customHeight="1">
      <c r="A40" s="2"/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96"/>
      <c r="O40" s="96"/>
      <c r="P40" s="96"/>
      <c r="Q40" s="96"/>
      <c r="R40" s="2"/>
      <c r="S40" s="2"/>
      <c r="T40" s="2"/>
    </row>
    <row r="41" spans="1:23" ht="15.75">
      <c r="A41" s="97"/>
      <c r="B41" s="98"/>
      <c r="C41" s="98"/>
      <c r="D41" s="99" t="s">
        <v>39</v>
      </c>
      <c r="E41" s="100"/>
      <c r="F41" s="100"/>
      <c r="G41" s="101"/>
      <c r="H41" s="101"/>
      <c r="I41" s="101"/>
      <c r="J41" s="102"/>
      <c r="K41" s="102"/>
      <c r="L41" s="102"/>
      <c r="M41" s="102"/>
      <c r="N41" s="102" t="s">
        <v>40</v>
      </c>
      <c r="O41" s="102"/>
      <c r="P41" s="103"/>
      <c r="Q41" s="103"/>
      <c r="R41" s="103"/>
      <c r="S41" s="103"/>
      <c r="T41" s="104"/>
      <c r="U41" s="104"/>
      <c r="V41" s="104"/>
      <c r="W41" s="104"/>
    </row>
    <row r="42" spans="1:20" ht="15.75">
      <c r="A42" s="2"/>
      <c r="B42" s="2"/>
      <c r="C42" s="4"/>
      <c r="D42" s="2"/>
      <c r="E42" s="2"/>
      <c r="F42" s="2"/>
      <c r="G42" s="2"/>
      <c r="H42" s="2"/>
      <c r="I42" s="2"/>
      <c r="J42" s="2"/>
      <c r="K42" s="2"/>
      <c r="L42" s="2"/>
      <c r="M42" s="4"/>
      <c r="N42" s="2"/>
      <c r="O42" s="2"/>
      <c r="P42" s="2"/>
      <c r="Q42" s="2"/>
      <c r="R42" s="2"/>
      <c r="S42" s="2"/>
      <c r="T42" s="2"/>
    </row>
    <row r="43" spans="1:20" ht="1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</row>
    <row r="44" spans="1:20" ht="15">
      <c r="A44" s="2"/>
      <c r="B44" s="10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ht="15">
      <c r="B45" s="107"/>
    </row>
    <row r="46" spans="5:6" ht="15">
      <c r="E46" s="108"/>
      <c r="F46" s="108"/>
    </row>
    <row r="47" spans="13:19" ht="15" customHeight="1" hidden="1">
      <c r="M47" s="109" t="s">
        <v>41</v>
      </c>
      <c r="N47" s="109"/>
      <c r="O47" s="109"/>
      <c r="P47" s="109"/>
      <c r="Q47" s="109"/>
      <c r="R47" s="109"/>
      <c r="S47" s="107"/>
    </row>
    <row r="48" spans="2:19" ht="15" customHeight="1" hidden="1">
      <c r="B48" s="14" t="s">
        <v>42</v>
      </c>
      <c r="C48" s="110" t="s">
        <v>43</v>
      </c>
      <c r="M48" s="109" t="s">
        <v>44</v>
      </c>
      <c r="N48" s="109"/>
      <c r="O48" s="109"/>
      <c r="P48" s="109"/>
      <c r="Q48" s="109"/>
      <c r="R48" s="109"/>
      <c r="S48" s="107"/>
    </row>
    <row r="49" spans="2:19" ht="15" customHeight="1" hidden="1">
      <c r="B49" s="111" t="s">
        <v>45</v>
      </c>
      <c r="C49" s="111"/>
      <c r="M49" s="109" t="s">
        <v>46</v>
      </c>
      <c r="N49" s="109"/>
      <c r="O49" s="109"/>
      <c r="P49" s="109"/>
      <c r="Q49" s="109"/>
      <c r="R49" s="109"/>
      <c r="S49" s="107"/>
    </row>
    <row r="50" spans="2:19" ht="15" customHeight="1" hidden="1">
      <c r="B50" s="1" t="s">
        <v>8</v>
      </c>
      <c r="M50" s="34"/>
      <c r="N50" s="34"/>
      <c r="O50" s="34"/>
      <c r="P50" s="34"/>
      <c r="Q50" s="34"/>
      <c r="R50" s="34"/>
      <c r="S50" s="34"/>
    </row>
    <row r="51" spans="13:19" ht="15" customHeight="1" hidden="1">
      <c r="M51" s="34"/>
      <c r="N51" s="34"/>
      <c r="O51" s="34"/>
      <c r="P51" s="34"/>
      <c r="Q51" s="34"/>
      <c r="R51" s="34"/>
      <c r="S51" s="34"/>
    </row>
    <row r="52" spans="13:19" ht="15" customHeight="1" hidden="1">
      <c r="M52" s="34"/>
      <c r="N52" s="34"/>
      <c r="O52" s="34"/>
      <c r="P52" s="34"/>
      <c r="Q52" s="34"/>
      <c r="R52" s="34"/>
      <c r="S52" s="34"/>
    </row>
    <row r="53" ht="15" customHeight="1" hidden="1"/>
    <row r="54" spans="1:20" ht="12.75" customHeight="1" hidden="1">
      <c r="A54" s="112" t="s">
        <v>11</v>
      </c>
      <c r="B54" s="113" t="s">
        <v>47</v>
      </c>
      <c r="C54" s="114" t="s">
        <v>13</v>
      </c>
      <c r="D54" s="115" t="s">
        <v>48</v>
      </c>
      <c r="E54" s="115"/>
      <c r="F54" s="116"/>
      <c r="G54" s="117" t="s">
        <v>18</v>
      </c>
      <c r="H54" s="117"/>
      <c r="I54" s="117"/>
      <c r="J54" s="117"/>
      <c r="K54" s="117"/>
      <c r="L54" s="118"/>
      <c r="M54" s="118"/>
      <c r="N54" s="118"/>
      <c r="O54" s="118" t="s">
        <v>49</v>
      </c>
      <c r="P54" s="118"/>
      <c r="Q54" s="119"/>
      <c r="R54" s="113" t="s">
        <v>21</v>
      </c>
      <c r="S54" s="113"/>
      <c r="T54" s="114" t="s">
        <v>22</v>
      </c>
    </row>
    <row r="55" spans="1:20" ht="12.75" customHeight="1" hidden="1">
      <c r="A55" s="112"/>
      <c r="B55" s="120" t="s">
        <v>23</v>
      </c>
      <c r="C55" s="120" t="s">
        <v>24</v>
      </c>
      <c r="D55" s="115"/>
      <c r="E55" s="115"/>
      <c r="F55" s="121"/>
      <c r="G55" s="122" t="s">
        <v>26</v>
      </c>
      <c r="H55" s="123"/>
      <c r="I55" s="123"/>
      <c r="J55" s="124" t="s">
        <v>50</v>
      </c>
      <c r="K55" s="122"/>
      <c r="L55" s="122"/>
      <c r="M55" s="122"/>
      <c r="N55" s="124"/>
      <c r="O55" s="125"/>
      <c r="P55" s="126"/>
      <c r="Q55" s="126"/>
      <c r="R55" s="120" t="s">
        <v>28</v>
      </c>
      <c r="S55" s="120"/>
      <c r="T55" s="127" t="s">
        <v>28</v>
      </c>
    </row>
    <row r="56" spans="1:20" ht="15" customHeight="1" hidden="1">
      <c r="A56" s="112"/>
      <c r="B56" s="120"/>
      <c r="C56" s="120" t="s">
        <v>29</v>
      </c>
      <c r="D56" s="115"/>
      <c r="E56" s="115"/>
      <c r="F56" s="121"/>
      <c r="G56" s="122"/>
      <c r="H56" s="128"/>
      <c r="I56" s="128"/>
      <c r="J56" s="124"/>
      <c r="K56" s="122"/>
      <c r="L56" s="122"/>
      <c r="M56" s="122"/>
      <c r="N56" s="124"/>
      <c r="O56" s="125"/>
      <c r="P56" s="125"/>
      <c r="Q56" s="125"/>
      <c r="R56" s="129" t="s">
        <v>30</v>
      </c>
      <c r="S56" s="129"/>
      <c r="T56" s="127" t="s">
        <v>31</v>
      </c>
    </row>
    <row r="57" spans="1:20" ht="15" customHeight="1" hidden="1">
      <c r="A57" s="130"/>
      <c r="B57" s="120"/>
      <c r="C57" s="120"/>
      <c r="D57" s="115"/>
      <c r="E57" s="115"/>
      <c r="F57" s="121"/>
      <c r="G57" s="122"/>
      <c r="H57" s="128"/>
      <c r="I57" s="128"/>
      <c r="J57" s="124"/>
      <c r="K57" s="122"/>
      <c r="L57" s="122"/>
      <c r="M57" s="122"/>
      <c r="N57" s="124"/>
      <c r="O57" s="125"/>
      <c r="P57" s="125"/>
      <c r="Q57" s="125"/>
      <c r="R57" s="129"/>
      <c r="S57" s="129"/>
      <c r="T57" s="127"/>
    </row>
    <row r="58" spans="1:20" ht="80.25" customHeight="1" hidden="1">
      <c r="A58" s="131"/>
      <c r="B58" s="132"/>
      <c r="C58" s="132"/>
      <c r="D58" s="115"/>
      <c r="E58" s="115"/>
      <c r="F58" s="133"/>
      <c r="G58" s="122"/>
      <c r="H58" s="134"/>
      <c r="I58" s="134"/>
      <c r="J58" s="124"/>
      <c r="K58" s="122"/>
      <c r="L58" s="122"/>
      <c r="M58" s="122"/>
      <c r="N58" s="124"/>
      <c r="O58" s="125"/>
      <c r="P58" s="125"/>
      <c r="Q58" s="125"/>
      <c r="R58" s="135"/>
      <c r="S58" s="135"/>
      <c r="T58" s="136"/>
    </row>
    <row r="59" spans="1:20" ht="45" customHeight="1" hidden="1">
      <c r="A59" s="137">
        <v>1</v>
      </c>
      <c r="B59" s="138" t="s">
        <v>51</v>
      </c>
      <c r="C59" s="139">
        <v>1</v>
      </c>
      <c r="D59" s="140">
        <v>1832</v>
      </c>
      <c r="E59" s="141" t="s">
        <v>52</v>
      </c>
      <c r="F59" s="141"/>
      <c r="G59" s="142">
        <f aca="true" t="shared" si="17" ref="G59:G60">(D59+K59)*30%</f>
        <v>549.6</v>
      </c>
      <c r="H59" s="142"/>
      <c r="I59" s="142"/>
      <c r="J59" s="142">
        <f aca="true" t="shared" si="18" ref="J59:J60">(D59*C59+M59+N59)*20%</f>
        <v>366.40000000000003</v>
      </c>
      <c r="K59" s="142"/>
      <c r="L59" s="142"/>
      <c r="M59" s="142"/>
      <c r="N59" s="143"/>
      <c r="O59" s="142"/>
      <c r="P59" s="142"/>
      <c r="Q59" s="142"/>
      <c r="R59" s="144">
        <f aca="true" t="shared" si="19" ref="R59:R60">D59*C59+G59+K59+L59+M59+N59+O59+P59+Q59+J59</f>
        <v>2748</v>
      </c>
      <c r="S59" s="144"/>
      <c r="T59" s="144">
        <f>R59*12</f>
        <v>32976</v>
      </c>
    </row>
    <row r="60" spans="1:20" ht="45" customHeight="1" hidden="1">
      <c r="A60" s="145">
        <v>2</v>
      </c>
      <c r="B60" s="146" t="s">
        <v>53</v>
      </c>
      <c r="C60" s="147">
        <v>0.5</v>
      </c>
      <c r="D60" s="140">
        <v>1711</v>
      </c>
      <c r="E60" s="141" t="s">
        <v>33</v>
      </c>
      <c r="F60" s="141"/>
      <c r="G60" s="142">
        <f t="shared" si="17"/>
        <v>513.3</v>
      </c>
      <c r="H60" s="142"/>
      <c r="I60" s="142"/>
      <c r="J60" s="142">
        <f t="shared" si="18"/>
        <v>171.10000000000002</v>
      </c>
      <c r="K60" s="142"/>
      <c r="L60" s="143"/>
      <c r="M60" s="143"/>
      <c r="N60" s="143"/>
      <c r="O60" s="143"/>
      <c r="P60" s="143"/>
      <c r="Q60" s="143"/>
      <c r="R60" s="144">
        <f t="shared" si="19"/>
        <v>1539.9</v>
      </c>
      <c r="S60" s="144"/>
      <c r="T60" s="144"/>
    </row>
    <row r="61" spans="1:20" ht="15" customHeight="1" hidden="1">
      <c r="A61" s="147"/>
      <c r="B61" s="146"/>
      <c r="C61" s="147"/>
      <c r="D61" s="148"/>
      <c r="E61" s="148"/>
      <c r="F61" s="148"/>
      <c r="G61" s="147"/>
      <c r="H61" s="147"/>
      <c r="I61" s="147"/>
      <c r="J61" s="147"/>
      <c r="K61" s="143"/>
      <c r="L61" s="143"/>
      <c r="M61" s="143"/>
      <c r="N61" s="143"/>
      <c r="O61" s="143"/>
      <c r="P61" s="143"/>
      <c r="Q61" s="143"/>
      <c r="R61" s="136"/>
      <c r="S61" s="136"/>
      <c r="T61" s="136"/>
    </row>
    <row r="62" spans="1:20" ht="15" customHeight="1" hidden="1">
      <c r="A62" s="147"/>
      <c r="B62" s="146" t="s">
        <v>54</v>
      </c>
      <c r="C62" s="149">
        <f>SUM(C59:C61)</f>
        <v>1.5</v>
      </c>
      <c r="D62" s="148">
        <f>D59+D60</f>
        <v>3543</v>
      </c>
      <c r="E62" s="148"/>
      <c r="F62" s="148"/>
      <c r="G62" s="143">
        <f>SUM(G59:G61)</f>
        <v>1062.9</v>
      </c>
      <c r="H62" s="143"/>
      <c r="I62" s="143"/>
      <c r="J62" s="143">
        <f>SUM(J59:J61)</f>
        <v>537.5</v>
      </c>
      <c r="K62" s="143">
        <f>SUM(K59:K61)</f>
        <v>0</v>
      </c>
      <c r="L62" s="143">
        <f>SUM(L59:L61)</f>
        <v>0</v>
      </c>
      <c r="M62" s="143">
        <f>SUM(M59:M61)</f>
        <v>0</v>
      </c>
      <c r="N62" s="143">
        <f>SUM(N59:N61)</f>
        <v>0</v>
      </c>
      <c r="O62" s="143">
        <f>SUM(O59:O61)</f>
        <v>0</v>
      </c>
      <c r="P62" s="143">
        <f>SUM(P59:P61)</f>
        <v>0</v>
      </c>
      <c r="Q62" s="143">
        <f>SUM(Q59:Q61)</f>
        <v>0</v>
      </c>
      <c r="R62" s="143">
        <f>SUM(R59:R61)</f>
        <v>4287.9</v>
      </c>
      <c r="S62" s="143"/>
      <c r="T62" s="143">
        <f>SUM(T59:T61)</f>
        <v>32976</v>
      </c>
    </row>
    <row r="63" spans="1:20" ht="15" customHeight="1" hidden="1">
      <c r="A63" s="147"/>
      <c r="B63" s="146"/>
      <c r="C63" s="147"/>
      <c r="D63" s="147"/>
      <c r="E63" s="147"/>
      <c r="F63" s="147"/>
      <c r="G63" s="147"/>
      <c r="H63" s="147"/>
      <c r="I63" s="147"/>
      <c r="J63" s="147"/>
      <c r="K63" s="143"/>
      <c r="L63" s="143"/>
      <c r="M63" s="143"/>
      <c r="N63" s="143"/>
      <c r="O63" s="143"/>
      <c r="P63" s="143"/>
      <c r="Q63" s="143"/>
      <c r="R63" s="136"/>
      <c r="S63" s="136"/>
      <c r="T63" s="136"/>
    </row>
    <row r="64" spans="1:20" ht="15" customHeight="1" hidden="1">
      <c r="A64" s="147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36"/>
      <c r="S64" s="136"/>
      <c r="T64" s="136"/>
    </row>
    <row r="65" spans="1:20" ht="15" customHeight="1" hidden="1">
      <c r="A65" s="34"/>
      <c r="B65" s="66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3"/>
      <c r="S65" s="33"/>
      <c r="T65" s="33"/>
    </row>
    <row r="66" spans="1:20" ht="15" customHeight="1" hidden="1">
      <c r="A66" s="34"/>
      <c r="B66" s="66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8:19" ht="12.75" customHeight="1" hidden="1">
      <c r="R67" s="54"/>
      <c r="S67" s="54"/>
    </row>
    <row r="68" ht="15" customHeight="1" hidden="1"/>
    <row r="69" spans="1:19" ht="15" customHeight="1" hidden="1">
      <c r="A69" s="32" t="s">
        <v>55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150"/>
    </row>
    <row r="70" spans="20:23" ht="18" customHeight="1" hidden="1">
      <c r="T70" s="10"/>
      <c r="U70" s="10"/>
      <c r="V70" s="10"/>
      <c r="W70" s="10"/>
    </row>
    <row r="71" ht="12.75" customHeight="1" hidden="1"/>
    <row r="72" spans="1:19" ht="15" customHeight="1" hidden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150"/>
    </row>
    <row r="73" ht="15" customHeight="1" hidden="1">
      <c r="B73" s="1" t="s">
        <v>56</v>
      </c>
    </row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>
      <c r="A82" s="34"/>
    </row>
    <row r="83" ht="15" customHeight="1" hidden="1">
      <c r="A83" s="34"/>
    </row>
    <row r="84" spans="1:20" ht="20.25" customHeight="1" hidden="1">
      <c r="A84" s="151"/>
      <c r="B84" s="2"/>
      <c r="C84" s="2"/>
      <c r="D84" s="2"/>
      <c r="E84" s="2"/>
      <c r="F84" s="2"/>
      <c r="G84" s="2"/>
      <c r="H84" s="2"/>
      <c r="I84" s="2"/>
      <c r="J84" s="2"/>
      <c r="K84" s="3"/>
      <c r="L84" s="2"/>
      <c r="M84" s="2"/>
      <c r="N84" s="2"/>
      <c r="O84" s="2"/>
      <c r="P84" s="2"/>
      <c r="Q84" s="2"/>
      <c r="R84" s="2"/>
      <c r="S84" s="2"/>
      <c r="T84" s="2"/>
    </row>
    <row r="85" spans="1:20" ht="15.75" customHeight="1" hidden="1">
      <c r="A85" s="15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2"/>
      <c r="P85" s="2"/>
      <c r="Q85" s="2"/>
      <c r="R85" s="2"/>
      <c r="S85" s="2"/>
      <c r="T85" s="2"/>
    </row>
    <row r="86" spans="1:20" ht="31.5" customHeight="1" hidden="1">
      <c r="A86" s="1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52" t="s">
        <v>57</v>
      </c>
      <c r="N86" s="152"/>
      <c r="O86" s="152"/>
      <c r="P86" s="152"/>
      <c r="Q86" s="152"/>
      <c r="R86" s="152"/>
      <c r="S86" s="4"/>
      <c r="T86" s="4"/>
    </row>
    <row r="87" spans="1:20" ht="15.75" customHeight="1" hidden="1">
      <c r="A87" s="1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 t="s">
        <v>58</v>
      </c>
      <c r="N87" s="4"/>
      <c r="O87" s="4"/>
      <c r="P87" s="4"/>
      <c r="Q87" s="4"/>
      <c r="R87" s="4"/>
      <c r="S87" s="4"/>
      <c r="T87" s="4"/>
    </row>
    <row r="88" spans="1:20" ht="15.75" customHeight="1" hidden="1">
      <c r="A88" s="1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 t="s">
        <v>59</v>
      </c>
      <c r="N88" s="4"/>
      <c r="O88" s="4"/>
      <c r="P88" s="4"/>
      <c r="Q88" s="4"/>
      <c r="R88" s="5"/>
      <c r="S88" s="5"/>
      <c r="T88" s="5"/>
    </row>
    <row r="89" spans="1:20" ht="15.75" customHeight="1" hidden="1">
      <c r="A89" s="16"/>
      <c r="B89" s="11" t="s">
        <v>60</v>
      </c>
      <c r="C89" s="11"/>
      <c r="D89" s="11"/>
      <c r="E89" s="11"/>
      <c r="F89" s="11"/>
      <c r="G89" s="11"/>
      <c r="H89" s="11"/>
      <c r="I89" s="11"/>
      <c r="J89" s="11"/>
      <c r="K89" s="11"/>
      <c r="L89" s="4"/>
      <c r="M89" s="4"/>
      <c r="N89" s="4"/>
      <c r="O89" s="4"/>
      <c r="P89" s="4"/>
      <c r="Q89" s="4"/>
      <c r="R89" s="4"/>
      <c r="S89" s="4"/>
      <c r="T89" s="4"/>
    </row>
    <row r="90" spans="1:20" ht="18.75" customHeight="1" hidden="1">
      <c r="A90" s="16"/>
      <c r="B90" s="15" t="s">
        <v>61</v>
      </c>
      <c r="C90" s="15"/>
      <c r="D90" s="15"/>
      <c r="E90" s="15"/>
      <c r="F90" s="15"/>
      <c r="G90" s="15"/>
      <c r="H90" s="15"/>
      <c r="I90" s="15"/>
      <c r="J90" s="15"/>
      <c r="K90" s="15"/>
      <c r="L90" s="4"/>
      <c r="M90" s="4"/>
      <c r="N90" s="4"/>
      <c r="O90" s="4"/>
      <c r="P90" s="4"/>
      <c r="Q90" s="4"/>
      <c r="R90" s="4"/>
      <c r="S90" s="4"/>
      <c r="T90" s="4"/>
    </row>
    <row r="91" spans="1:20" ht="15.75" customHeight="1" hidden="1">
      <c r="A91" s="16"/>
      <c r="B91" s="6" t="s">
        <v>8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16"/>
      <c r="N91" s="16"/>
      <c r="O91" s="16"/>
      <c r="P91" s="16"/>
      <c r="Q91" s="16"/>
      <c r="R91" s="16"/>
      <c r="S91" s="16"/>
      <c r="T91" s="4"/>
    </row>
    <row r="92" spans="1:20" ht="15.75" customHeight="1" hidden="1">
      <c r="A92" s="1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6"/>
      <c r="N92" s="16"/>
      <c r="O92" s="16"/>
      <c r="P92" s="16"/>
      <c r="Q92" s="16"/>
      <c r="R92" s="16"/>
      <c r="S92" s="16"/>
      <c r="T92" s="4"/>
    </row>
    <row r="93" spans="1:20" ht="15.75" customHeight="1" hidden="1">
      <c r="A93" s="1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 customHeight="1" hidden="1">
      <c r="A94" s="1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customHeight="1" hidden="1">
      <c r="A95" s="153" t="s">
        <v>11</v>
      </c>
      <c r="B95" s="29" t="s">
        <v>47</v>
      </c>
      <c r="C95" s="31" t="s">
        <v>13</v>
      </c>
      <c r="D95" s="21" t="s">
        <v>14</v>
      </c>
      <c r="E95" s="21" t="s">
        <v>15</v>
      </c>
      <c r="F95" s="154"/>
      <c r="G95" s="23" t="s">
        <v>18</v>
      </c>
      <c r="H95" s="23"/>
      <c r="I95" s="23"/>
      <c r="J95" s="23"/>
      <c r="K95" s="23"/>
      <c r="L95" s="23"/>
      <c r="M95" s="23"/>
      <c r="N95" s="155" t="s">
        <v>62</v>
      </c>
      <c r="O95" s="156" t="s">
        <v>49</v>
      </c>
      <c r="P95" s="156"/>
      <c r="Q95" s="156"/>
      <c r="R95" s="29" t="s">
        <v>21</v>
      </c>
      <c r="S95" s="30" t="s">
        <v>63</v>
      </c>
      <c r="T95" s="31" t="s">
        <v>22</v>
      </c>
    </row>
    <row r="96" spans="1:24" ht="18" customHeight="1" hidden="1">
      <c r="A96" s="153"/>
      <c r="B96" s="44" t="s">
        <v>23</v>
      </c>
      <c r="C96" s="44" t="s">
        <v>24</v>
      </c>
      <c r="D96" s="21"/>
      <c r="E96" s="21"/>
      <c r="F96" s="157"/>
      <c r="G96" s="38"/>
      <c r="H96" s="158"/>
      <c r="I96" s="158"/>
      <c r="J96" s="158"/>
      <c r="K96" s="38" t="s">
        <v>64</v>
      </c>
      <c r="L96" s="38"/>
      <c r="M96" s="25">
        <v>0.5</v>
      </c>
      <c r="N96" s="155"/>
      <c r="O96" s="39" t="s">
        <v>65</v>
      </c>
      <c r="P96" s="39" t="s">
        <v>66</v>
      </c>
      <c r="Q96" s="43"/>
      <c r="R96" s="44" t="s">
        <v>28</v>
      </c>
      <c r="S96" s="30"/>
      <c r="T96" s="45" t="s">
        <v>28</v>
      </c>
      <c r="X96" s="1" t="s">
        <v>10</v>
      </c>
    </row>
    <row r="97" spans="1:20" ht="15.75" customHeight="1" hidden="1">
      <c r="A97" s="153"/>
      <c r="B97" s="44"/>
      <c r="C97" s="44" t="s">
        <v>29</v>
      </c>
      <c r="D97" s="21"/>
      <c r="E97" s="21"/>
      <c r="F97" s="159"/>
      <c r="G97" s="38"/>
      <c r="H97" s="160"/>
      <c r="I97" s="160"/>
      <c r="J97" s="160"/>
      <c r="K97" s="38"/>
      <c r="L97" s="38"/>
      <c r="M97" s="38"/>
      <c r="N97" s="155"/>
      <c r="O97" s="39"/>
      <c r="P97" s="39"/>
      <c r="Q97" s="39"/>
      <c r="R97" s="47" t="s">
        <v>30</v>
      </c>
      <c r="S97" s="30"/>
      <c r="T97" s="45" t="s">
        <v>31</v>
      </c>
    </row>
    <row r="98" spans="1:24" ht="15.75" customHeight="1" hidden="1">
      <c r="A98" s="161"/>
      <c r="B98" s="44"/>
      <c r="C98" s="44"/>
      <c r="D98" s="21"/>
      <c r="E98" s="21"/>
      <c r="F98" s="159"/>
      <c r="G98" s="38"/>
      <c r="H98" s="160"/>
      <c r="I98" s="160"/>
      <c r="J98" s="160"/>
      <c r="K98" s="38"/>
      <c r="L98" s="38"/>
      <c r="M98" s="38"/>
      <c r="N98" s="155"/>
      <c r="O98" s="39"/>
      <c r="P98" s="39"/>
      <c r="Q98" s="39"/>
      <c r="R98" s="47" t="s">
        <v>9</v>
      </c>
      <c r="S98" s="30"/>
      <c r="T98" s="45" t="s">
        <v>9</v>
      </c>
      <c r="X98" s="54">
        <f>G125+J125+K125+L125+M125+N125+O125+P125+G317+J317+K317+L317+M317+N317+O317+P317+Q317</f>
        <v>50291.56</v>
      </c>
    </row>
    <row r="99" spans="1:20" ht="37.5" customHeight="1" hidden="1">
      <c r="A99" s="55"/>
      <c r="B99" s="51"/>
      <c r="C99" s="51"/>
      <c r="D99" s="21"/>
      <c r="E99" s="21"/>
      <c r="F99" s="162"/>
      <c r="G99" s="38"/>
      <c r="H99" s="163"/>
      <c r="I99" s="163"/>
      <c r="J99" s="163"/>
      <c r="K99" s="38"/>
      <c r="L99" s="38"/>
      <c r="M99" s="38"/>
      <c r="N99" s="155"/>
      <c r="O99" s="39"/>
      <c r="P99" s="39"/>
      <c r="Q99" s="39"/>
      <c r="R99" s="52"/>
      <c r="S99" s="30"/>
      <c r="T99" s="53"/>
    </row>
    <row r="100" spans="1:20" ht="31.5" customHeight="1" hidden="1">
      <c r="A100" s="164">
        <v>1</v>
      </c>
      <c r="B100" s="165" t="s">
        <v>67</v>
      </c>
      <c r="C100" s="166">
        <v>1</v>
      </c>
      <c r="D100" s="167">
        <v>2912</v>
      </c>
      <c r="E100" s="59">
        <v>10</v>
      </c>
      <c r="F100" s="59"/>
      <c r="G100" s="168"/>
      <c r="H100" s="168"/>
      <c r="I100" s="168"/>
      <c r="J100" s="168"/>
      <c r="K100" s="168"/>
      <c r="L100" s="168"/>
      <c r="M100" s="60">
        <f aca="true" t="shared" si="20" ref="M100:M102">D100*0.5</f>
        <v>1456</v>
      </c>
      <c r="N100" s="60">
        <f>(D100+M100)*50%</f>
        <v>2184</v>
      </c>
      <c r="O100" s="168"/>
      <c r="P100" s="163"/>
      <c r="Q100" s="163"/>
      <c r="R100" s="80">
        <f aca="true" t="shared" si="21" ref="R100:R111">D100*C100+G100+K100+L100+M100+N100+O100+P100+Q100</f>
        <v>6552</v>
      </c>
      <c r="S100" s="80" t="e">
        <f>R100+#REF!</f>
        <v>#REF!</v>
      </c>
      <c r="T100" s="80">
        <f aca="true" t="shared" si="22" ref="T100:T112">R100*12</f>
        <v>78624</v>
      </c>
    </row>
    <row r="101" spans="1:20" ht="15.75" customHeight="1" hidden="1">
      <c r="A101" s="164">
        <v>2</v>
      </c>
      <c r="B101" s="169" t="s">
        <v>68</v>
      </c>
      <c r="C101" s="169">
        <v>1</v>
      </c>
      <c r="D101" s="58">
        <v>2768</v>
      </c>
      <c r="E101" s="59">
        <v>9</v>
      </c>
      <c r="F101" s="59"/>
      <c r="G101" s="170"/>
      <c r="H101" s="170"/>
      <c r="I101" s="170"/>
      <c r="J101" s="170"/>
      <c r="K101" s="170"/>
      <c r="L101" s="170"/>
      <c r="M101" s="60">
        <f t="shared" si="20"/>
        <v>1384</v>
      </c>
      <c r="N101" s="60">
        <f aca="true" t="shared" si="23" ref="N101:N102">(D101+M101)*25%</f>
        <v>1038</v>
      </c>
      <c r="O101" s="164"/>
      <c r="P101" s="164"/>
      <c r="Q101" s="164"/>
      <c r="R101" s="80">
        <f t="shared" si="21"/>
        <v>5190</v>
      </c>
      <c r="S101" s="80" t="e">
        <f>R101+#REF!</f>
        <v>#REF!</v>
      </c>
      <c r="T101" s="80">
        <f t="shared" si="22"/>
        <v>62280</v>
      </c>
    </row>
    <row r="102" spans="1:20" ht="30.75" customHeight="1" hidden="1">
      <c r="A102" s="164">
        <v>3</v>
      </c>
      <c r="B102" s="90" t="s">
        <v>69</v>
      </c>
      <c r="C102" s="90">
        <v>1</v>
      </c>
      <c r="D102" s="58">
        <v>2768</v>
      </c>
      <c r="E102" s="59">
        <v>9</v>
      </c>
      <c r="F102" s="59"/>
      <c r="G102" s="90"/>
      <c r="H102" s="90"/>
      <c r="I102" s="90"/>
      <c r="J102" s="90"/>
      <c r="K102" s="90"/>
      <c r="L102" s="90"/>
      <c r="M102" s="60">
        <f t="shared" si="20"/>
        <v>1384</v>
      </c>
      <c r="N102" s="60">
        <f t="shared" si="23"/>
        <v>1038</v>
      </c>
      <c r="O102" s="92"/>
      <c r="P102" s="164"/>
      <c r="Q102" s="92"/>
      <c r="R102" s="80">
        <f t="shared" si="21"/>
        <v>5190</v>
      </c>
      <c r="S102" s="80" t="e">
        <f>R102+#REF!</f>
        <v>#REF!</v>
      </c>
      <c r="T102" s="80">
        <f t="shared" si="22"/>
        <v>62280</v>
      </c>
    </row>
    <row r="103" spans="1:20" ht="15.75" customHeight="1" hidden="1">
      <c r="A103" s="164">
        <v>4</v>
      </c>
      <c r="B103" s="90" t="s">
        <v>70</v>
      </c>
      <c r="C103" s="90">
        <v>1</v>
      </c>
      <c r="D103" s="167">
        <v>2912</v>
      </c>
      <c r="E103" s="59">
        <v>10</v>
      </c>
      <c r="F103" s="59"/>
      <c r="G103" s="90"/>
      <c r="H103" s="90"/>
      <c r="I103" s="90"/>
      <c r="J103" s="90"/>
      <c r="K103" s="90"/>
      <c r="L103" s="90"/>
      <c r="M103" s="60">
        <f aca="true" t="shared" si="24" ref="M103:M104">D103*C103*50%</f>
        <v>1456</v>
      </c>
      <c r="N103" s="85">
        <f aca="true" t="shared" si="25" ref="N103:N104">(D103*C103+M103)*50%</f>
        <v>2184</v>
      </c>
      <c r="O103" s="92"/>
      <c r="P103" s="164"/>
      <c r="Q103" s="92"/>
      <c r="R103" s="80">
        <f t="shared" si="21"/>
        <v>6552</v>
      </c>
      <c r="S103" s="80" t="e">
        <f>R103+#REF!</f>
        <v>#REF!</v>
      </c>
      <c r="T103" s="80">
        <f t="shared" si="22"/>
        <v>78624</v>
      </c>
    </row>
    <row r="104" spans="1:20" ht="31.5" customHeight="1" hidden="1">
      <c r="A104" s="164">
        <v>5</v>
      </c>
      <c r="B104" s="90" t="s">
        <v>70</v>
      </c>
      <c r="C104" s="90">
        <v>2</v>
      </c>
      <c r="D104" s="58">
        <v>2912</v>
      </c>
      <c r="E104" s="59">
        <v>10</v>
      </c>
      <c r="F104" s="59"/>
      <c r="G104" s="90"/>
      <c r="H104" s="90"/>
      <c r="I104" s="90"/>
      <c r="J104" s="90"/>
      <c r="K104" s="90"/>
      <c r="L104" s="90"/>
      <c r="M104" s="60">
        <f t="shared" si="24"/>
        <v>2912</v>
      </c>
      <c r="N104" s="85">
        <f t="shared" si="25"/>
        <v>4368</v>
      </c>
      <c r="O104" s="92"/>
      <c r="P104" s="164"/>
      <c r="Q104" s="92"/>
      <c r="R104" s="80">
        <f t="shared" si="21"/>
        <v>13104</v>
      </c>
      <c r="S104" s="80" t="e">
        <f>R104+#REF!</f>
        <v>#REF!</v>
      </c>
      <c r="T104" s="80">
        <f t="shared" si="22"/>
        <v>157248</v>
      </c>
    </row>
    <row r="105" spans="1:20" ht="25.5" customHeight="1" hidden="1">
      <c r="A105" s="164">
        <v>6</v>
      </c>
      <c r="B105" s="92"/>
      <c r="C105" s="92"/>
      <c r="D105" s="71"/>
      <c r="E105" s="72"/>
      <c r="F105" s="72"/>
      <c r="G105" s="92"/>
      <c r="H105" s="92"/>
      <c r="I105" s="92"/>
      <c r="J105" s="92"/>
      <c r="K105" s="92"/>
      <c r="L105" s="92"/>
      <c r="M105" s="78">
        <f aca="true" t="shared" si="26" ref="M105:M107">D105*0.5*C105</f>
        <v>0</v>
      </c>
      <c r="N105" s="78">
        <f>(D105*C105+M105)*25%</f>
        <v>0</v>
      </c>
      <c r="O105" s="92"/>
      <c r="P105" s="164"/>
      <c r="Q105" s="92"/>
      <c r="R105" s="80">
        <f t="shared" si="21"/>
        <v>0</v>
      </c>
      <c r="S105" s="80" t="e">
        <f>R105+#REF!</f>
        <v>#REF!</v>
      </c>
      <c r="T105" s="80">
        <f t="shared" si="22"/>
        <v>0</v>
      </c>
    </row>
    <row r="106" spans="1:20" ht="27.75" customHeight="1" hidden="1">
      <c r="A106" s="171">
        <v>7</v>
      </c>
      <c r="B106" s="172"/>
      <c r="C106" s="92"/>
      <c r="D106" s="173"/>
      <c r="E106" s="72"/>
      <c r="F106" s="72"/>
      <c r="G106" s="92"/>
      <c r="H106" s="92"/>
      <c r="I106" s="92"/>
      <c r="J106" s="92"/>
      <c r="K106" s="92"/>
      <c r="L106" s="92"/>
      <c r="M106" s="78">
        <f t="shared" si="26"/>
        <v>0</v>
      </c>
      <c r="N106" s="78">
        <f aca="true" t="shared" si="27" ref="N106:N107">(D106*C106+M106)*0.25</f>
        <v>0</v>
      </c>
      <c r="O106" s="92"/>
      <c r="P106" s="164"/>
      <c r="Q106" s="92"/>
      <c r="R106" s="80">
        <f t="shared" si="21"/>
        <v>0</v>
      </c>
      <c r="S106" s="80" t="e">
        <f>R106+#REF!</f>
        <v>#REF!</v>
      </c>
      <c r="T106" s="80">
        <f t="shared" si="22"/>
        <v>0</v>
      </c>
    </row>
    <row r="107" spans="1:20" ht="29.25" customHeight="1" hidden="1">
      <c r="A107" s="171">
        <v>8</v>
      </c>
      <c r="B107" s="90" t="s">
        <v>71</v>
      </c>
      <c r="C107" s="90">
        <v>2</v>
      </c>
      <c r="D107" s="174">
        <v>2464</v>
      </c>
      <c r="E107" s="59">
        <v>7</v>
      </c>
      <c r="F107" s="59"/>
      <c r="G107" s="90"/>
      <c r="H107" s="90"/>
      <c r="I107" s="90"/>
      <c r="J107" s="90"/>
      <c r="K107" s="90"/>
      <c r="L107" s="90"/>
      <c r="M107" s="85">
        <f t="shared" si="26"/>
        <v>2464</v>
      </c>
      <c r="N107" s="85">
        <f t="shared" si="27"/>
        <v>1848</v>
      </c>
      <c r="O107" s="92"/>
      <c r="P107" s="164"/>
      <c r="Q107" s="92"/>
      <c r="R107" s="80">
        <f t="shared" si="21"/>
        <v>9240</v>
      </c>
      <c r="S107" s="80" t="e">
        <f>R107+#REF!</f>
        <v>#REF!</v>
      </c>
      <c r="T107" s="80">
        <f t="shared" si="22"/>
        <v>110880</v>
      </c>
    </row>
    <row r="108" spans="1:20" ht="32.25" customHeight="1" hidden="1">
      <c r="A108" s="164">
        <v>9</v>
      </c>
      <c r="B108" s="92" t="s">
        <v>72</v>
      </c>
      <c r="C108" s="92"/>
      <c r="D108" s="71"/>
      <c r="E108" s="72">
        <v>5</v>
      </c>
      <c r="F108" s="72"/>
      <c r="G108" s="92"/>
      <c r="H108" s="92"/>
      <c r="I108" s="92"/>
      <c r="J108" s="92"/>
      <c r="K108" s="92"/>
      <c r="L108" s="92"/>
      <c r="M108" s="92"/>
      <c r="N108" s="78"/>
      <c r="O108" s="92"/>
      <c r="P108" s="164"/>
      <c r="Q108" s="92"/>
      <c r="R108" s="80">
        <f t="shared" si="21"/>
        <v>0</v>
      </c>
      <c r="S108" s="80" t="e">
        <f>R108+#REF!</f>
        <v>#REF!</v>
      </c>
      <c r="T108" s="80">
        <f t="shared" si="22"/>
        <v>0</v>
      </c>
    </row>
    <row r="109" spans="1:20" ht="49.5" customHeight="1" hidden="1">
      <c r="A109" s="164">
        <v>10</v>
      </c>
      <c r="B109" s="175" t="s">
        <v>73</v>
      </c>
      <c r="C109" s="90">
        <v>1</v>
      </c>
      <c r="D109" s="58">
        <v>2032</v>
      </c>
      <c r="E109" s="59">
        <v>4</v>
      </c>
      <c r="F109" s="59"/>
      <c r="G109" s="90"/>
      <c r="H109" s="90"/>
      <c r="I109" s="90"/>
      <c r="J109" s="90"/>
      <c r="K109" s="85">
        <f>D109*C109*0.2</f>
        <v>406.40000000000003</v>
      </c>
      <c r="L109" s="90"/>
      <c r="M109" s="85">
        <f>D109*50%</f>
        <v>1016</v>
      </c>
      <c r="N109" s="85"/>
      <c r="O109" s="92"/>
      <c r="P109" s="164"/>
      <c r="Q109" s="92"/>
      <c r="R109" s="80">
        <f t="shared" si="21"/>
        <v>3454.4</v>
      </c>
      <c r="S109" s="80" t="e">
        <f>R109+#REF!</f>
        <v>#REF!</v>
      </c>
      <c r="T109" s="80">
        <f t="shared" si="22"/>
        <v>41452.8</v>
      </c>
    </row>
    <row r="110" spans="1:23" ht="15" customHeight="1" hidden="1">
      <c r="A110" s="164">
        <v>11</v>
      </c>
      <c r="B110" s="90" t="s">
        <v>74</v>
      </c>
      <c r="C110" s="90">
        <v>3</v>
      </c>
      <c r="D110" s="58">
        <v>1744</v>
      </c>
      <c r="E110" s="59">
        <v>2</v>
      </c>
      <c r="F110" s="59"/>
      <c r="G110" s="90"/>
      <c r="H110" s="90"/>
      <c r="I110" s="90"/>
      <c r="J110" s="90"/>
      <c r="K110" s="90"/>
      <c r="L110" s="90"/>
      <c r="M110" s="90"/>
      <c r="N110" s="85"/>
      <c r="O110" s="90"/>
      <c r="P110" s="176">
        <f>D110*33%*C110</f>
        <v>1726.56</v>
      </c>
      <c r="Q110" s="92"/>
      <c r="R110" s="80">
        <f t="shared" si="21"/>
        <v>6958.5599999999995</v>
      </c>
      <c r="S110" s="80" t="e">
        <f>R110+#REF!</f>
        <v>#REF!</v>
      </c>
      <c r="T110" s="80">
        <f t="shared" si="22"/>
        <v>83502.72</v>
      </c>
      <c r="V110" s="1" t="s">
        <v>75</v>
      </c>
      <c r="W110" s="1" t="s">
        <v>76</v>
      </c>
    </row>
    <row r="111" spans="1:23" ht="0.75" customHeight="1" hidden="1">
      <c r="A111" s="164">
        <v>11</v>
      </c>
      <c r="B111" s="92" t="s">
        <v>77</v>
      </c>
      <c r="C111" s="177"/>
      <c r="D111" s="71"/>
      <c r="E111" s="72">
        <v>8</v>
      </c>
      <c r="F111" s="72"/>
      <c r="G111" s="92"/>
      <c r="H111" s="92"/>
      <c r="I111" s="92"/>
      <c r="J111" s="92"/>
      <c r="K111" s="92"/>
      <c r="L111" s="92"/>
      <c r="M111" s="92"/>
      <c r="N111" s="78"/>
      <c r="O111" s="92"/>
      <c r="P111" s="164"/>
      <c r="Q111" s="92"/>
      <c r="R111" s="80">
        <f t="shared" si="21"/>
        <v>0</v>
      </c>
      <c r="S111" s="80" t="e">
        <f>R111+#REF!</f>
        <v>#REF!</v>
      </c>
      <c r="T111" s="80">
        <f t="shared" si="22"/>
        <v>0</v>
      </c>
      <c r="V111" s="1">
        <f>C100+C101+C102+C105+C106+C108+C120+C301+C304+C305+C307+C309+C111+C122+C104+C119+C103</f>
        <v>13.5</v>
      </c>
      <c r="W111" s="1">
        <f>C109+C110+C112+C115+C116+C117+C118+C121+C306+C311+C308+C310</f>
        <v>6.25</v>
      </c>
    </row>
    <row r="112" spans="1:23" ht="0.75" customHeight="1" hidden="1">
      <c r="A112" s="28">
        <v>12</v>
      </c>
      <c r="B112" s="175" t="s">
        <v>78</v>
      </c>
      <c r="C112" s="178">
        <v>0.25</v>
      </c>
      <c r="D112" s="58"/>
      <c r="E112" s="59"/>
      <c r="F112" s="179"/>
      <c r="G112" s="83"/>
      <c r="H112" s="180"/>
      <c r="I112" s="180"/>
      <c r="J112" s="180"/>
      <c r="K112" s="83"/>
      <c r="L112" s="83"/>
      <c r="M112" s="83"/>
      <c r="N112" s="83"/>
      <c r="O112" s="181">
        <f>D113*10%*C112</f>
        <v>43.6</v>
      </c>
      <c r="P112" s="182"/>
      <c r="Q112" s="69"/>
      <c r="R112" s="81">
        <f>D113*C112+G112+J113+K112+L112+M112+N112+O112+P112+Q112</f>
        <v>479.6</v>
      </c>
      <c r="S112" s="80" t="e">
        <f>R112+#REF!</f>
        <v>#REF!</v>
      </c>
      <c r="T112" s="81">
        <f t="shared" si="22"/>
        <v>5755.200000000001</v>
      </c>
      <c r="V112" s="54">
        <f>C125+C317</f>
        <v>22.75</v>
      </c>
      <c r="W112" s="1">
        <f>V111+W111</f>
        <v>19.75</v>
      </c>
    </row>
    <row r="113" spans="1:20" ht="15.75" customHeight="1" hidden="1">
      <c r="A113" s="28"/>
      <c r="B113" s="175"/>
      <c r="C113" s="178"/>
      <c r="D113" s="58">
        <v>1744</v>
      </c>
      <c r="E113" s="59">
        <v>2</v>
      </c>
      <c r="F113" s="59"/>
      <c r="G113" s="83"/>
      <c r="H113" s="57"/>
      <c r="I113" s="57"/>
      <c r="J113" s="57"/>
      <c r="K113" s="83"/>
      <c r="L113" s="83"/>
      <c r="M113" s="83"/>
      <c r="N113" s="83"/>
      <c r="O113" s="181"/>
      <c r="P113" s="182"/>
      <c r="Q113" s="69"/>
      <c r="R113" s="81"/>
      <c r="S113" s="80" t="e">
        <f>R113+#REF!</f>
        <v>#REF!</v>
      </c>
      <c r="T113" s="81"/>
    </row>
    <row r="114" spans="1:21" ht="15.75" customHeight="1" hidden="1">
      <c r="A114" s="28"/>
      <c r="B114" s="92"/>
      <c r="C114" s="92"/>
      <c r="D114" s="71"/>
      <c r="E114" s="183"/>
      <c r="F114" s="183"/>
      <c r="G114" s="92"/>
      <c r="H114" s="92"/>
      <c r="I114" s="92"/>
      <c r="J114" s="92"/>
      <c r="K114" s="92"/>
      <c r="L114" s="69"/>
      <c r="M114" s="92"/>
      <c r="N114" s="78"/>
      <c r="O114" s="92"/>
      <c r="P114" s="69"/>
      <c r="Q114" s="92"/>
      <c r="R114" s="80">
        <f aca="true" t="shared" si="28" ref="R114:R122">D114*C114+G114+K114+L114+M114+N114+O114+P114+Q114</f>
        <v>0</v>
      </c>
      <c r="S114" s="80" t="e">
        <f>R114+#REF!</f>
        <v>#REF!</v>
      </c>
      <c r="T114" s="80">
        <f aca="true" t="shared" si="29" ref="T114:T122">R114*12</f>
        <v>0</v>
      </c>
      <c r="U114" s="54"/>
    </row>
    <row r="115" spans="1:20" ht="31.5" customHeight="1" hidden="1">
      <c r="A115" s="28">
        <v>13</v>
      </c>
      <c r="B115" s="184" t="s">
        <v>79</v>
      </c>
      <c r="C115" s="92"/>
      <c r="D115" s="71"/>
      <c r="E115" s="72"/>
      <c r="F115" s="72"/>
      <c r="G115" s="92"/>
      <c r="H115" s="92"/>
      <c r="I115" s="92"/>
      <c r="J115" s="92"/>
      <c r="K115" s="92"/>
      <c r="L115" s="69"/>
      <c r="M115" s="92"/>
      <c r="N115" s="78"/>
      <c r="O115" s="92"/>
      <c r="P115" s="69"/>
      <c r="Q115" s="92"/>
      <c r="R115" s="80">
        <f t="shared" si="28"/>
        <v>0</v>
      </c>
      <c r="S115" s="80" t="e">
        <f>R115+#REF!</f>
        <v>#REF!</v>
      </c>
      <c r="T115" s="80">
        <f t="shared" si="29"/>
        <v>0</v>
      </c>
    </row>
    <row r="116" spans="1:20" ht="48.75" customHeight="1" hidden="1">
      <c r="A116" s="28"/>
      <c r="B116" s="184"/>
      <c r="C116" s="92"/>
      <c r="D116" s="71"/>
      <c r="E116" s="72"/>
      <c r="F116" s="72"/>
      <c r="G116" s="92"/>
      <c r="H116" s="92"/>
      <c r="I116" s="92"/>
      <c r="J116" s="92"/>
      <c r="K116" s="92"/>
      <c r="L116" s="28"/>
      <c r="M116" s="92"/>
      <c r="N116" s="78"/>
      <c r="O116" s="92"/>
      <c r="P116" s="185"/>
      <c r="Q116" s="92"/>
      <c r="R116" s="80">
        <f t="shared" si="28"/>
        <v>0</v>
      </c>
      <c r="S116" s="80" t="e">
        <f>R116+#REF!</f>
        <v>#REF!</v>
      </c>
      <c r="T116" s="80">
        <f t="shared" si="29"/>
        <v>0</v>
      </c>
    </row>
    <row r="117" spans="1:20" ht="20.25" customHeight="1" hidden="1">
      <c r="A117" s="28"/>
      <c r="B117" s="184"/>
      <c r="C117" s="92"/>
      <c r="D117" s="71"/>
      <c r="E117" s="72"/>
      <c r="F117" s="72"/>
      <c r="G117" s="92"/>
      <c r="H117" s="92"/>
      <c r="I117" s="92"/>
      <c r="J117" s="92"/>
      <c r="K117" s="92"/>
      <c r="L117" s="28"/>
      <c r="M117" s="92"/>
      <c r="N117" s="78"/>
      <c r="O117" s="92"/>
      <c r="P117" s="185"/>
      <c r="Q117" s="92"/>
      <c r="R117" s="80">
        <f t="shared" si="28"/>
        <v>0</v>
      </c>
      <c r="S117" s="80" t="e">
        <f>R117+#REF!</f>
        <v>#REF!</v>
      </c>
      <c r="T117" s="80">
        <f t="shared" si="29"/>
        <v>0</v>
      </c>
    </row>
    <row r="118" spans="1:21" ht="15.75" customHeight="1" hidden="1">
      <c r="A118" s="28">
        <v>14</v>
      </c>
      <c r="B118" s="90" t="s">
        <v>80</v>
      </c>
      <c r="C118" s="90">
        <v>1</v>
      </c>
      <c r="D118" s="58">
        <v>2768</v>
      </c>
      <c r="E118" s="59">
        <v>9</v>
      </c>
      <c r="F118" s="59"/>
      <c r="G118" s="90"/>
      <c r="H118" s="90"/>
      <c r="I118" s="90"/>
      <c r="J118" s="90"/>
      <c r="K118" s="90"/>
      <c r="L118" s="90"/>
      <c r="M118" s="90">
        <f>D118*50%</f>
        <v>1384</v>
      </c>
      <c r="N118" s="85">
        <f>(D118+M118)*25%</f>
        <v>1038</v>
      </c>
      <c r="O118" s="92"/>
      <c r="P118" s="185"/>
      <c r="Q118" s="92"/>
      <c r="R118" s="80">
        <f t="shared" si="28"/>
        <v>5190</v>
      </c>
      <c r="S118" s="80" t="e">
        <f>R118+#REF!</f>
        <v>#REF!</v>
      </c>
      <c r="T118" s="80">
        <f t="shared" si="29"/>
        <v>62280</v>
      </c>
      <c r="U118" s="1">
        <f>D108+D109*C109+D110*C110+D111*C111+D112*C112+D115+D116*C116+D117+D118+D121+D306*C306+D307*C307+D311*C311</f>
        <v>10032</v>
      </c>
    </row>
    <row r="119" spans="1:20" ht="15.75" customHeight="1" hidden="1">
      <c r="A119" s="28">
        <v>15</v>
      </c>
      <c r="B119" s="92"/>
      <c r="C119" s="92"/>
      <c r="D119" s="71"/>
      <c r="E119" s="72"/>
      <c r="F119" s="72"/>
      <c r="G119" s="92"/>
      <c r="H119" s="92"/>
      <c r="I119" s="92"/>
      <c r="J119" s="92"/>
      <c r="K119" s="92"/>
      <c r="L119" s="92"/>
      <c r="M119" s="92"/>
      <c r="N119" s="78"/>
      <c r="O119" s="92"/>
      <c r="P119" s="186"/>
      <c r="Q119" s="92"/>
      <c r="R119" s="80">
        <f t="shared" si="28"/>
        <v>0</v>
      </c>
      <c r="S119" s="80" t="e">
        <f>R119+#REF!</f>
        <v>#REF!</v>
      </c>
      <c r="T119" s="80">
        <f t="shared" si="29"/>
        <v>0</v>
      </c>
    </row>
    <row r="120" spans="1:20" ht="15.75" customHeight="1" hidden="1">
      <c r="A120" s="28"/>
      <c r="B120" s="92"/>
      <c r="C120" s="92"/>
      <c r="D120" s="173"/>
      <c r="E120" s="187"/>
      <c r="F120" s="187"/>
      <c r="G120" s="92"/>
      <c r="H120" s="92"/>
      <c r="I120" s="92"/>
      <c r="J120" s="92"/>
      <c r="K120" s="92"/>
      <c r="L120" s="92"/>
      <c r="M120" s="92"/>
      <c r="N120" s="78"/>
      <c r="O120" s="92"/>
      <c r="P120" s="186"/>
      <c r="Q120" s="92"/>
      <c r="R120" s="80">
        <f t="shared" si="28"/>
        <v>0</v>
      </c>
      <c r="S120" s="80" t="e">
        <f>R120+#REF!</f>
        <v>#REF!</v>
      </c>
      <c r="T120" s="80">
        <f t="shared" si="29"/>
        <v>0</v>
      </c>
    </row>
    <row r="121" spans="1:27" ht="45.75" customHeight="1" hidden="1">
      <c r="A121" s="28">
        <v>16</v>
      </c>
      <c r="B121" s="184"/>
      <c r="C121" s="92"/>
      <c r="D121" s="71"/>
      <c r="E121" s="72"/>
      <c r="F121" s="72"/>
      <c r="G121" s="92"/>
      <c r="H121" s="92"/>
      <c r="I121" s="92"/>
      <c r="J121" s="92"/>
      <c r="K121" s="92"/>
      <c r="L121" s="92"/>
      <c r="M121" s="92"/>
      <c r="N121" s="78"/>
      <c r="O121" s="92"/>
      <c r="P121" s="186"/>
      <c r="Q121" s="92"/>
      <c r="R121" s="80">
        <f t="shared" si="28"/>
        <v>0</v>
      </c>
      <c r="S121" s="80" t="e">
        <f>R121+#REF!</f>
        <v>#REF!</v>
      </c>
      <c r="T121" s="80">
        <f t="shared" si="29"/>
        <v>0</v>
      </c>
      <c r="AA121" s="54">
        <f>D125+D317+G317+M125</f>
        <v>79624</v>
      </c>
    </row>
    <row r="122" spans="1:26" ht="67.5" customHeight="1" hidden="1">
      <c r="A122" s="28">
        <v>17</v>
      </c>
      <c r="B122" s="184" t="s">
        <v>81</v>
      </c>
      <c r="C122" s="92"/>
      <c r="D122" s="71"/>
      <c r="E122" s="72">
        <v>5</v>
      </c>
      <c r="F122" s="72"/>
      <c r="G122" s="92"/>
      <c r="H122" s="92"/>
      <c r="I122" s="92"/>
      <c r="J122" s="92"/>
      <c r="K122" s="92"/>
      <c r="L122" s="92"/>
      <c r="M122" s="78">
        <f>D122*50%</f>
        <v>0</v>
      </c>
      <c r="N122" s="78"/>
      <c r="O122" s="92"/>
      <c r="P122" s="186"/>
      <c r="Q122" s="92"/>
      <c r="R122" s="80">
        <f t="shared" si="28"/>
        <v>0</v>
      </c>
      <c r="S122" s="80" t="e">
        <f>R122+#REF!</f>
        <v>#REF!</v>
      </c>
      <c r="T122" s="80">
        <f t="shared" si="29"/>
        <v>0</v>
      </c>
      <c r="Z122" s="2"/>
    </row>
    <row r="123" spans="1:27" ht="15.75" customHeight="1" hidden="1">
      <c r="A123" s="69"/>
      <c r="B123" s="92"/>
      <c r="C123" s="92"/>
      <c r="D123" s="173"/>
      <c r="E123" s="173"/>
      <c r="F123" s="173"/>
      <c r="G123" s="92"/>
      <c r="H123" s="92"/>
      <c r="I123" s="92"/>
      <c r="J123" s="92"/>
      <c r="K123" s="92"/>
      <c r="L123" s="92"/>
      <c r="M123" s="92"/>
      <c r="N123" s="78"/>
      <c r="O123" s="92"/>
      <c r="P123" s="92"/>
      <c r="Q123" s="92"/>
      <c r="R123" s="53"/>
      <c r="S123" s="53"/>
      <c r="T123" s="53"/>
      <c r="Z123" s="2"/>
      <c r="AA123" s="54">
        <f>D100+D101+D102+D103+D104*C104+D105+D106+D107*C107+D108+D109*C109+D110*C110+D113*C112+D115+D116*C116+D117*C117+D118+D119*C119+D121*C121+D301+D303+D305*C305+D307+D308*C308+D309*C309+D310+D312*C311+M125+G317</f>
        <v>79624</v>
      </c>
    </row>
    <row r="124" spans="1:20" ht="15.75" customHeight="1" hidden="1">
      <c r="A124" s="28"/>
      <c r="B124" s="92"/>
      <c r="C124" s="92"/>
      <c r="D124" s="173"/>
      <c r="E124" s="173"/>
      <c r="F124" s="173"/>
      <c r="G124" s="92"/>
      <c r="H124" s="92"/>
      <c r="I124" s="92"/>
      <c r="J124" s="92"/>
      <c r="K124" s="92"/>
      <c r="L124" s="92"/>
      <c r="M124" s="92"/>
      <c r="N124" s="78"/>
      <c r="O124" s="92"/>
      <c r="P124" s="92"/>
      <c r="Q124" s="92"/>
      <c r="R124" s="92"/>
      <c r="S124" s="92"/>
      <c r="T124" s="92"/>
    </row>
    <row r="125" spans="1:20" ht="15.75" customHeight="1" hidden="1">
      <c r="A125" s="28"/>
      <c r="B125" s="92" t="s">
        <v>37</v>
      </c>
      <c r="C125" s="78">
        <f>SUM(C100:C124)</f>
        <v>13.25</v>
      </c>
      <c r="D125" s="173">
        <f>D100+D101+D102+D103+D104*C104+D105+D106+D107*C107+D108+D109*C109+D110*C110+D113*C112+D115+D116*C116+D117*C117+D118+D119*C119+D121*C121</f>
        <v>32580</v>
      </c>
      <c r="E125" s="173"/>
      <c r="F125" s="173"/>
      <c r="G125" s="78">
        <f>SUM(G101:G124)+G100</f>
        <v>0</v>
      </c>
      <c r="H125" s="78"/>
      <c r="I125" s="78"/>
      <c r="J125" s="79">
        <f>SUM(J101:J124)+J100</f>
        <v>0</v>
      </c>
      <c r="K125" s="78">
        <f>SUM(K101:K124)+K100</f>
        <v>406.40000000000003</v>
      </c>
      <c r="L125" s="78">
        <f>SUM(L101:L124)+L100</f>
        <v>0</v>
      </c>
      <c r="M125" s="79">
        <f>SUM(M101:M124)+M100</f>
        <v>13456</v>
      </c>
      <c r="N125" s="79">
        <f>SUM(N101:N124)+N100</f>
        <v>13698</v>
      </c>
      <c r="O125" s="78">
        <f>SUM(O101:O124)+O100</f>
        <v>43.6</v>
      </c>
      <c r="P125" s="79">
        <f>SUM(P101:P124)+P100</f>
        <v>1726.56</v>
      </c>
      <c r="Q125" s="78">
        <f>SUM(Q101:Q124)+Q100</f>
        <v>0</v>
      </c>
      <c r="R125" s="78">
        <f>SUM(R101:R124)+R100</f>
        <v>61910.56</v>
      </c>
      <c r="S125" s="79" t="e">
        <f>SUM(S101:S124)+S100</f>
        <v>#REF!</v>
      </c>
      <c r="T125" s="79">
        <f>SUM(T101:T124)</f>
        <v>664302.72</v>
      </c>
    </row>
    <row r="126" spans="1:20" ht="15.75" customHeight="1" hidden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 customHeight="1" hidden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 customHeight="1" hidden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7" ht="37.5" customHeight="1" hidden="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10"/>
      <c r="V129" s="10"/>
      <c r="W129" s="10"/>
      <c r="X129" s="10"/>
      <c r="AA129" s="1">
        <f>C100+C101+C102+C103+C104+C105+C106+C107+C108+C119+C301+C303+C305+C307+C309</f>
        <v>16.5</v>
      </c>
    </row>
    <row r="130" spans="1:20" ht="14.25" customHeight="1" hidden="1">
      <c r="A130" s="2"/>
      <c r="B130" s="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96"/>
      <c r="O130" s="96"/>
      <c r="P130" s="96"/>
      <c r="Q130" s="96"/>
      <c r="R130" s="2"/>
      <c r="S130" s="2"/>
      <c r="T130" s="2"/>
    </row>
    <row r="131" spans="1:20" ht="15" customHeight="1" hidden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</row>
    <row r="132" spans="1:20" ht="15.75" customHeight="1" hidden="1">
      <c r="A132" s="2"/>
      <c r="B132" s="2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4"/>
      <c r="N132" s="2"/>
      <c r="O132" s="2"/>
      <c r="P132" s="2"/>
      <c r="Q132" s="2"/>
      <c r="R132" s="2"/>
      <c r="S132" s="2"/>
      <c r="T132" s="2"/>
    </row>
    <row r="133" spans="1:20" ht="15" customHeight="1" hidden="1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</row>
    <row r="134" spans="1:24" ht="37.5" customHeight="1" hidden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0" ht="14.25" customHeight="1" hidden="1">
      <c r="A135" s="2"/>
      <c r="B135" s="2"/>
      <c r="C135" s="5" t="s">
        <v>39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96" t="s">
        <v>82</v>
      </c>
      <c r="O135" s="96"/>
      <c r="P135" s="96"/>
      <c r="Q135" s="96"/>
      <c r="R135" s="2"/>
      <c r="S135" s="2"/>
      <c r="T135" s="2"/>
    </row>
    <row r="136" spans="1:20" ht="18.75" customHeight="1" hidden="1">
      <c r="A136" s="96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96"/>
      <c r="R136" s="96"/>
      <c r="S136" s="96"/>
      <c r="T136" s="96"/>
    </row>
    <row r="137" spans="1:20" ht="15.75" customHeight="1" hidden="1">
      <c r="A137" s="96"/>
      <c r="B137" s="96"/>
      <c r="C137" s="5" t="s">
        <v>83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96"/>
      <c r="S137" s="96"/>
      <c r="T137" s="96"/>
    </row>
    <row r="138" spans="1:20" ht="15" customHeight="1" hidden="1">
      <c r="A138" s="2"/>
      <c r="B138" s="10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ht="15" customHeight="1" hidden="1">
      <c r="B139" s="107" t="s">
        <v>84</v>
      </c>
    </row>
    <row r="140" spans="1:20" ht="15.75" customHeight="1" hidden="1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</row>
    <row r="141" spans="1:20" ht="15.75" customHeight="1" hidden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 customHeight="1" hidden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 customHeight="1" hidden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 customHeight="1" hidden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 customHeight="1" hidden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 customHeight="1" hidden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 customHeight="1" hidden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 customHeight="1" hidden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 customHeight="1" hidden="1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</row>
    <row r="150" spans="1:20" ht="20.25" customHeight="1" hidden="1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3"/>
      <c r="L150" s="189"/>
      <c r="M150" s="189"/>
      <c r="N150" s="189"/>
      <c r="O150" s="189"/>
      <c r="P150" s="189"/>
      <c r="Q150" s="189"/>
      <c r="R150" s="189"/>
      <c r="S150" s="189"/>
      <c r="T150" s="189"/>
    </row>
    <row r="151" spans="1:20" ht="15.75" customHeight="1" hidden="1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</row>
    <row r="152" spans="1:20" ht="15.75" customHeight="1" hidden="1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</row>
    <row r="153" spans="1:20" ht="15.75" customHeight="1" hidden="1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</row>
    <row r="154" spans="1:20" ht="15.75" customHeight="1" hidden="1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90" t="s">
        <v>85</v>
      </c>
      <c r="N154" s="190"/>
      <c r="O154" s="190"/>
      <c r="P154" s="190"/>
      <c r="Q154" s="190"/>
      <c r="R154" s="190"/>
      <c r="S154" s="191"/>
      <c r="T154" s="189"/>
    </row>
    <row r="155" spans="1:20" ht="15.75" customHeight="1" hidden="1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</row>
    <row r="156" spans="1:20" ht="15.75" customHeight="1" hidden="1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90" t="s">
        <v>41</v>
      </c>
      <c r="N156" s="190"/>
      <c r="O156" s="190"/>
      <c r="P156" s="190"/>
      <c r="Q156" s="190"/>
      <c r="R156" s="190"/>
      <c r="S156" s="191"/>
      <c r="T156" s="189"/>
    </row>
    <row r="157" spans="1:20" ht="15.75" customHeight="1" hidden="1">
      <c r="A157" s="189"/>
      <c r="B157" s="192" t="s">
        <v>42</v>
      </c>
      <c r="C157" s="193" t="s">
        <v>86</v>
      </c>
      <c r="D157" s="189"/>
      <c r="E157" s="189"/>
      <c r="F157" s="189"/>
      <c r="G157" s="189"/>
      <c r="H157" s="189"/>
      <c r="I157" s="189"/>
      <c r="J157" s="189"/>
      <c r="K157" s="189"/>
      <c r="L157" s="189"/>
      <c r="M157" s="189" t="s">
        <v>87</v>
      </c>
      <c r="N157" s="189"/>
      <c r="O157" s="189"/>
      <c r="P157" s="189"/>
      <c r="Q157" s="189"/>
      <c r="R157" s="189"/>
      <c r="S157" s="189"/>
      <c r="T157" s="189"/>
    </row>
    <row r="158" spans="1:20" ht="29.25" customHeight="1" hidden="1">
      <c r="A158" s="189"/>
      <c r="B158" s="194" t="s">
        <v>88</v>
      </c>
      <c r="C158" s="194"/>
      <c r="D158" s="194"/>
      <c r="E158" s="194"/>
      <c r="F158" s="194"/>
      <c r="G158" s="194"/>
      <c r="H158" s="194"/>
      <c r="I158" s="194"/>
      <c r="J158" s="195"/>
      <c r="K158" s="195"/>
      <c r="L158" s="189"/>
      <c r="M158" s="189" t="s">
        <v>89</v>
      </c>
      <c r="N158" s="189"/>
      <c r="O158" s="189"/>
      <c r="P158" s="189"/>
      <c r="Q158" s="189"/>
      <c r="R158" s="189"/>
      <c r="S158" s="189"/>
      <c r="T158" s="189"/>
    </row>
    <row r="159" spans="1:20" ht="15.75" customHeight="1" hidden="1">
      <c r="A159" s="189"/>
      <c r="B159" s="189" t="s">
        <v>8</v>
      </c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96"/>
      <c r="N159" s="196"/>
      <c r="O159" s="196"/>
      <c r="P159" s="196"/>
      <c r="Q159" s="196"/>
      <c r="R159" s="196"/>
      <c r="S159" s="196"/>
      <c r="T159" s="189"/>
    </row>
    <row r="160" spans="1:20" ht="15.75" customHeight="1" hidden="1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96"/>
      <c r="N160" s="196"/>
      <c r="O160" s="196"/>
      <c r="P160" s="196"/>
      <c r="Q160" s="196"/>
      <c r="R160" s="196"/>
      <c r="S160" s="196"/>
      <c r="T160" s="189"/>
    </row>
    <row r="161" spans="1:20" ht="15.75" customHeight="1" hidden="1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</row>
    <row r="162" spans="1:20" ht="15.75" customHeight="1" hidden="1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</row>
    <row r="163" spans="1:20" ht="12.75" customHeight="1" hidden="1">
      <c r="A163" s="197" t="s">
        <v>11</v>
      </c>
      <c r="B163" s="198" t="s">
        <v>47</v>
      </c>
      <c r="C163" s="199" t="s">
        <v>13</v>
      </c>
      <c r="D163" s="200" t="s">
        <v>48</v>
      </c>
      <c r="E163" s="200"/>
      <c r="F163" s="201"/>
      <c r="G163" s="202" t="s">
        <v>18</v>
      </c>
      <c r="H163" s="202"/>
      <c r="I163" s="202"/>
      <c r="J163" s="202"/>
      <c r="K163" s="197" t="s">
        <v>49</v>
      </c>
      <c r="L163" s="197"/>
      <c r="M163" s="197"/>
      <c r="N163" s="197"/>
      <c r="O163" s="197"/>
      <c r="P163" s="197"/>
      <c r="Q163" s="197"/>
      <c r="R163" s="198" t="s">
        <v>21</v>
      </c>
      <c r="S163" s="198"/>
      <c r="T163" s="199" t="s">
        <v>22</v>
      </c>
    </row>
    <row r="164" spans="1:20" ht="12.75" customHeight="1" hidden="1">
      <c r="A164" s="197"/>
      <c r="B164" s="203" t="s">
        <v>23</v>
      </c>
      <c r="C164" s="203" t="s">
        <v>24</v>
      </c>
      <c r="D164" s="200"/>
      <c r="E164" s="200"/>
      <c r="F164" s="204"/>
      <c r="G164" s="205" t="s">
        <v>26</v>
      </c>
      <c r="H164" s="206"/>
      <c r="I164" s="206"/>
      <c r="J164" s="207" t="s">
        <v>50</v>
      </c>
      <c r="K164" s="205" t="s">
        <v>64</v>
      </c>
      <c r="L164" s="205"/>
      <c r="M164" s="205"/>
      <c r="N164" s="205"/>
      <c r="O164" s="207" t="s">
        <v>65</v>
      </c>
      <c r="P164" s="207" t="s">
        <v>66</v>
      </c>
      <c r="Q164" s="208"/>
      <c r="R164" s="203" t="s">
        <v>28</v>
      </c>
      <c r="S164" s="203"/>
      <c r="T164" s="209" t="s">
        <v>28</v>
      </c>
    </row>
    <row r="165" spans="1:20" ht="15.75" customHeight="1" hidden="1">
      <c r="A165" s="197"/>
      <c r="B165" s="203"/>
      <c r="C165" s="203" t="s">
        <v>29</v>
      </c>
      <c r="D165" s="200"/>
      <c r="E165" s="200"/>
      <c r="F165" s="204"/>
      <c r="G165" s="205"/>
      <c r="H165" s="210"/>
      <c r="I165" s="210"/>
      <c r="J165" s="207"/>
      <c r="K165" s="205"/>
      <c r="L165" s="205"/>
      <c r="M165" s="205"/>
      <c r="N165" s="205"/>
      <c r="O165" s="207"/>
      <c r="P165" s="207"/>
      <c r="Q165" s="207"/>
      <c r="R165" s="211" t="s">
        <v>30</v>
      </c>
      <c r="S165" s="211"/>
      <c r="T165" s="209" t="s">
        <v>31</v>
      </c>
    </row>
    <row r="166" spans="1:20" ht="15.75" customHeight="1" hidden="1">
      <c r="A166" s="212"/>
      <c r="B166" s="203"/>
      <c r="C166" s="203"/>
      <c r="D166" s="200"/>
      <c r="E166" s="200"/>
      <c r="F166" s="204"/>
      <c r="G166" s="205"/>
      <c r="H166" s="210"/>
      <c r="I166" s="210"/>
      <c r="J166" s="207"/>
      <c r="K166" s="205"/>
      <c r="L166" s="205"/>
      <c r="M166" s="205"/>
      <c r="N166" s="205"/>
      <c r="O166" s="207"/>
      <c r="P166" s="207"/>
      <c r="Q166" s="207"/>
      <c r="R166" s="211"/>
      <c r="S166" s="211"/>
      <c r="T166" s="209"/>
    </row>
    <row r="167" spans="1:24" ht="72.75" customHeight="1" hidden="1">
      <c r="A167" s="213"/>
      <c r="B167" s="214"/>
      <c r="C167" s="214"/>
      <c r="D167" s="200"/>
      <c r="E167" s="200"/>
      <c r="F167" s="215"/>
      <c r="G167" s="205"/>
      <c r="H167" s="216"/>
      <c r="I167" s="216"/>
      <c r="J167" s="207"/>
      <c r="K167" s="205"/>
      <c r="L167" s="205"/>
      <c r="M167" s="205"/>
      <c r="N167" s="205"/>
      <c r="O167" s="207"/>
      <c r="P167" s="207"/>
      <c r="Q167" s="207"/>
      <c r="R167" s="217"/>
      <c r="S167" s="217"/>
      <c r="T167" s="218"/>
      <c r="X167" s="1" t="s">
        <v>10</v>
      </c>
    </row>
    <row r="168" spans="1:24" ht="126" customHeight="1" hidden="1">
      <c r="A168" s="219">
        <v>1</v>
      </c>
      <c r="B168" s="220" t="s">
        <v>90</v>
      </c>
      <c r="C168" s="218">
        <v>0.5</v>
      </c>
      <c r="D168" s="221">
        <f>'[1]школи з 01.09.13'!D135*95%</f>
        <v>1958.8999999999999</v>
      </c>
      <c r="E168" s="222" t="s">
        <v>91</v>
      </c>
      <c r="F168" s="222"/>
      <c r="G168" s="223">
        <f>D168*20%*0.5</f>
        <v>195.89</v>
      </c>
      <c r="H168" s="223"/>
      <c r="I168" s="223"/>
      <c r="J168" s="223">
        <f>D168*C168*20%*0.5</f>
        <v>97.945</v>
      </c>
      <c r="K168" s="224"/>
      <c r="L168" s="224"/>
      <c r="M168" s="224"/>
      <c r="N168" s="224"/>
      <c r="O168" s="224"/>
      <c r="P168" s="224"/>
      <c r="Q168" s="224"/>
      <c r="R168" s="221">
        <f aca="true" t="shared" si="30" ref="R168:R171">D168*C168+G168+K168+L168+M168+N168+O168+P168+Q168+J168</f>
        <v>1273.2849999999999</v>
      </c>
      <c r="S168" s="221"/>
      <c r="T168" s="221">
        <f aca="true" t="shared" si="31" ref="T168:T176">R168*12</f>
        <v>15279.419999999998</v>
      </c>
      <c r="X168" s="54">
        <f>G178+J178+K178+L178+M178+N178+O178+P178+Q178</f>
        <v>2914.8849999999998</v>
      </c>
    </row>
    <row r="169" spans="1:21" ht="47.25" customHeight="1" hidden="1">
      <c r="A169" s="225">
        <v>2</v>
      </c>
      <c r="B169" s="226" t="s">
        <v>92</v>
      </c>
      <c r="C169" s="227">
        <v>4</v>
      </c>
      <c r="D169" s="228">
        <v>1396</v>
      </c>
      <c r="E169" s="222" t="s">
        <v>93</v>
      </c>
      <c r="F169" s="222"/>
      <c r="G169" s="223">
        <f>D169*C169*20%</f>
        <v>1116.8</v>
      </c>
      <c r="H169" s="223"/>
      <c r="I169" s="223"/>
      <c r="J169" s="223">
        <f>D169*C169*20%</f>
        <v>1116.8</v>
      </c>
      <c r="K169" s="227"/>
      <c r="L169" s="227"/>
      <c r="M169" s="227"/>
      <c r="N169" s="227"/>
      <c r="O169" s="227"/>
      <c r="P169" s="227"/>
      <c r="Q169" s="227"/>
      <c r="R169" s="221">
        <f t="shared" si="30"/>
        <v>7817.6</v>
      </c>
      <c r="S169" s="221"/>
      <c r="T169" s="221">
        <f t="shared" si="31"/>
        <v>93811.20000000001</v>
      </c>
      <c r="U169" s="54"/>
    </row>
    <row r="170" spans="1:21" ht="15.75" customHeight="1" hidden="1">
      <c r="A170" s="229"/>
      <c r="B170" s="230"/>
      <c r="C170" s="227"/>
      <c r="D170" s="228"/>
      <c r="E170" s="222"/>
      <c r="F170" s="222"/>
      <c r="G170" s="223"/>
      <c r="H170" s="223"/>
      <c r="I170" s="223"/>
      <c r="J170" s="223"/>
      <c r="K170" s="227"/>
      <c r="L170" s="227"/>
      <c r="M170" s="227"/>
      <c r="N170" s="227"/>
      <c r="O170" s="227"/>
      <c r="P170" s="227"/>
      <c r="Q170" s="227"/>
      <c r="R170" s="221">
        <f t="shared" si="30"/>
        <v>0</v>
      </c>
      <c r="S170" s="221"/>
      <c r="T170" s="221">
        <f t="shared" si="31"/>
        <v>0</v>
      </c>
      <c r="U170" s="54">
        <f>D168+D169*C169+D170*C170+D171*C171</f>
        <v>7542.9</v>
      </c>
    </row>
    <row r="171" spans="1:21" ht="15.75" customHeight="1" hidden="1">
      <c r="A171" s="224"/>
      <c r="B171" s="231"/>
      <c r="C171" s="227"/>
      <c r="D171" s="228"/>
      <c r="E171" s="222"/>
      <c r="F171" s="222"/>
      <c r="G171" s="223"/>
      <c r="H171" s="223"/>
      <c r="I171" s="223"/>
      <c r="J171" s="223"/>
      <c r="K171" s="227"/>
      <c r="L171" s="227"/>
      <c r="M171" s="227"/>
      <c r="N171" s="227"/>
      <c r="O171" s="227"/>
      <c r="P171" s="227"/>
      <c r="Q171" s="227"/>
      <c r="R171" s="221">
        <f t="shared" si="30"/>
        <v>0</v>
      </c>
      <c r="S171" s="221"/>
      <c r="T171" s="221">
        <f t="shared" si="31"/>
        <v>0</v>
      </c>
      <c r="U171" s="54">
        <f>R168+R169+R170+R171</f>
        <v>9090.885</v>
      </c>
    </row>
    <row r="172" spans="1:21" ht="0.75" customHeight="1" hidden="1">
      <c r="A172" s="232"/>
      <c r="B172" s="227"/>
      <c r="C172" s="227"/>
      <c r="D172" s="228"/>
      <c r="E172" s="228"/>
      <c r="F172" s="228"/>
      <c r="G172" s="227"/>
      <c r="H172" s="227"/>
      <c r="I172" s="227"/>
      <c r="J172" s="227"/>
      <c r="K172" s="227"/>
      <c r="L172" s="227"/>
      <c r="M172" s="227"/>
      <c r="N172" s="227"/>
      <c r="O172" s="227"/>
      <c r="P172" s="227"/>
      <c r="Q172" s="227"/>
      <c r="R172" s="221"/>
      <c r="S172" s="221"/>
      <c r="T172" s="221">
        <f t="shared" si="31"/>
        <v>0</v>
      </c>
      <c r="U172" s="1">
        <f>D173*C173+D174*C174+D176*C176</f>
        <v>1383.75</v>
      </c>
    </row>
    <row r="173" spans="1:20" ht="15.75" customHeight="1" hidden="1">
      <c r="A173" s="232"/>
      <c r="B173" s="233"/>
      <c r="C173" s="227"/>
      <c r="D173" s="228"/>
      <c r="E173" s="222"/>
      <c r="F173" s="222"/>
      <c r="G173" s="227"/>
      <c r="H173" s="227"/>
      <c r="I173" s="227"/>
      <c r="J173" s="227"/>
      <c r="K173" s="227"/>
      <c r="L173" s="227"/>
      <c r="M173" s="227"/>
      <c r="N173" s="227"/>
      <c r="O173" s="227"/>
      <c r="P173" s="234"/>
      <c r="Q173" s="234"/>
      <c r="R173" s="221">
        <f aca="true" t="shared" si="32" ref="R173:R174">D173*C173+G173+K173+L173+M173+N173+O173+P173+Q173</f>
        <v>0</v>
      </c>
      <c r="S173" s="221"/>
      <c r="T173" s="221">
        <f t="shared" si="31"/>
        <v>0</v>
      </c>
    </row>
    <row r="174" spans="1:20" ht="47.25" customHeight="1" hidden="1">
      <c r="A174" s="232">
        <v>4</v>
      </c>
      <c r="B174" s="233" t="s">
        <v>74</v>
      </c>
      <c r="C174" s="227">
        <v>0.75</v>
      </c>
      <c r="D174" s="228">
        <v>1107</v>
      </c>
      <c r="E174" s="222" t="s">
        <v>94</v>
      </c>
      <c r="F174" s="222"/>
      <c r="G174" s="227"/>
      <c r="H174" s="227"/>
      <c r="I174" s="227"/>
      <c r="J174" s="227"/>
      <c r="K174" s="227"/>
      <c r="L174" s="227"/>
      <c r="M174" s="227"/>
      <c r="N174" s="227"/>
      <c r="O174" s="227"/>
      <c r="P174" s="234">
        <f>D174*40%*C174</f>
        <v>332.1</v>
      </c>
      <c r="Q174" s="234"/>
      <c r="R174" s="221">
        <f t="shared" si="32"/>
        <v>1162.35</v>
      </c>
      <c r="S174" s="221"/>
      <c r="T174" s="221">
        <f t="shared" si="31"/>
        <v>13948.199999999999</v>
      </c>
    </row>
    <row r="175" spans="1:20" ht="0.75" customHeight="1" hidden="1">
      <c r="A175" s="232"/>
      <c r="B175" s="233"/>
      <c r="C175" s="227"/>
      <c r="D175" s="228">
        <v>1099</v>
      </c>
      <c r="E175" s="228"/>
      <c r="F175" s="228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1"/>
      <c r="S175" s="221"/>
      <c r="T175" s="221">
        <f t="shared" si="31"/>
        <v>0</v>
      </c>
    </row>
    <row r="176" spans="1:20" ht="47.25" customHeight="1" hidden="1">
      <c r="A176" s="232">
        <v>5</v>
      </c>
      <c r="B176" s="233" t="s">
        <v>95</v>
      </c>
      <c r="C176" s="227">
        <v>0.5</v>
      </c>
      <c r="D176" s="228">
        <v>1107</v>
      </c>
      <c r="E176" s="222" t="s">
        <v>94</v>
      </c>
      <c r="F176" s="222"/>
      <c r="G176" s="227"/>
      <c r="H176" s="227"/>
      <c r="I176" s="227"/>
      <c r="J176" s="227"/>
      <c r="K176" s="227"/>
      <c r="L176" s="227"/>
      <c r="M176" s="227"/>
      <c r="N176" s="227"/>
      <c r="O176" s="234">
        <f>D176*10%*0.5</f>
        <v>55.35</v>
      </c>
      <c r="P176" s="227"/>
      <c r="Q176" s="227"/>
      <c r="R176" s="221">
        <f>D176*C176+G176+K176+L176+M176+N176+O176+P176+Q176</f>
        <v>608.85</v>
      </c>
      <c r="S176" s="221"/>
      <c r="T176" s="221">
        <f t="shared" si="31"/>
        <v>7306.200000000001</v>
      </c>
    </row>
    <row r="177" spans="1:20" ht="15.75" customHeight="1" hidden="1">
      <c r="A177" s="232"/>
      <c r="B177" s="227"/>
      <c r="C177" s="227"/>
      <c r="D177" s="234"/>
      <c r="E177" s="234"/>
      <c r="F177" s="234"/>
      <c r="G177" s="227"/>
      <c r="H177" s="227"/>
      <c r="I177" s="227"/>
      <c r="J177" s="227"/>
      <c r="K177" s="227"/>
      <c r="L177" s="227"/>
      <c r="M177" s="227"/>
      <c r="N177" s="227"/>
      <c r="O177" s="227"/>
      <c r="P177" s="227"/>
      <c r="Q177" s="227"/>
      <c r="R177" s="221"/>
      <c r="S177" s="221"/>
      <c r="T177" s="221"/>
    </row>
    <row r="178" spans="1:20" ht="15.75" customHeight="1" hidden="1">
      <c r="A178" s="232"/>
      <c r="B178" s="227" t="s">
        <v>54</v>
      </c>
      <c r="C178" s="227">
        <f>SUM(C168:C177)</f>
        <v>5.75</v>
      </c>
      <c r="D178" s="235">
        <f>D168+D169*C169+D173*C173+D174*C174+D176*C176+D170*C170+D171*C171</f>
        <v>8926.65</v>
      </c>
      <c r="E178" s="235"/>
      <c r="F178" s="235"/>
      <c r="G178" s="234">
        <f>SUM(G168:G176)</f>
        <v>1312.69</v>
      </c>
      <c r="H178" s="234"/>
      <c r="I178" s="234"/>
      <c r="J178" s="234">
        <f>SUM(J168:J176)</f>
        <v>1214.745</v>
      </c>
      <c r="K178" s="234">
        <f>SUM(K168:K176)</f>
        <v>0</v>
      </c>
      <c r="L178" s="234">
        <f>SUM(L168:L176)</f>
        <v>0</v>
      </c>
      <c r="M178" s="234">
        <f>SUM(M168:M176)</f>
        <v>0</v>
      </c>
      <c r="N178" s="234">
        <f>SUM(N168:N176)</f>
        <v>0</v>
      </c>
      <c r="O178" s="234">
        <f>SUM(O168:O176)</f>
        <v>55.35</v>
      </c>
      <c r="P178" s="234">
        <f>SUM(P168:P176)</f>
        <v>332.1</v>
      </c>
      <c r="Q178" s="234">
        <f>SUM(Q168:Q176)</f>
        <v>0</v>
      </c>
      <c r="R178" s="234">
        <f>SUM(R168:R176)</f>
        <v>10862.085000000001</v>
      </c>
      <c r="S178" s="234"/>
      <c r="T178" s="234">
        <f>SUM(T168:T176)</f>
        <v>130345.02</v>
      </c>
    </row>
    <row r="179" spans="1:20" ht="15.75" customHeight="1" hidden="1">
      <c r="A179" s="227"/>
      <c r="B179" s="227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18"/>
      <c r="S179" s="218"/>
      <c r="T179" s="218"/>
    </row>
    <row r="180" spans="1:20" ht="15.75" customHeight="1" hidden="1">
      <c r="A180" s="227"/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</row>
    <row r="181" spans="1:20" ht="15.75" customHeight="1" hidden="1">
      <c r="A181" s="196"/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</row>
    <row r="182" spans="1:20" ht="15.75" customHeight="1" hidden="1">
      <c r="A182" s="196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</row>
    <row r="183" spans="1:20" ht="15.75" customHeight="1" hidden="1">
      <c r="A183" s="196"/>
      <c r="B183" s="196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</row>
    <row r="184" spans="1:20" ht="15.75" customHeight="1" hidden="1">
      <c r="A184" s="196"/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</row>
    <row r="185" spans="1:20" ht="15.75" customHeight="1" hidden="1">
      <c r="A185" s="196"/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</row>
    <row r="186" spans="1:20" ht="15.75" customHeight="1" hidden="1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</row>
    <row r="187" spans="1:20" ht="15.75" customHeight="1" hidden="1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</row>
    <row r="188" spans="1:20" ht="15.75" customHeight="1" hidden="1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</row>
    <row r="189" spans="1:20" ht="15.75" customHeight="1" hidden="1">
      <c r="A189" s="236" t="s">
        <v>55</v>
      </c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6"/>
      <c r="P189" s="236"/>
      <c r="Q189" s="236"/>
      <c r="R189" s="236"/>
      <c r="S189" s="237"/>
      <c r="T189" s="189"/>
    </row>
    <row r="190" spans="1:23" ht="18" customHeight="1" hidden="1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238"/>
      <c r="U190" s="10"/>
      <c r="V190" s="10"/>
      <c r="W190" s="10"/>
    </row>
    <row r="191" spans="1:20" ht="12.75" customHeight="1" hidden="1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</row>
    <row r="192" spans="1:20" ht="15.75" customHeight="1" hidden="1">
      <c r="A192" s="236"/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  <c r="L192" s="236"/>
      <c r="M192" s="236"/>
      <c r="N192" s="236"/>
      <c r="O192" s="236"/>
      <c r="P192" s="236"/>
      <c r="Q192" s="236"/>
      <c r="R192" s="236"/>
      <c r="S192" s="237"/>
      <c r="T192" s="189"/>
    </row>
    <row r="193" spans="1:20" ht="15.75" customHeight="1" hidden="1">
      <c r="A193" s="189"/>
      <c r="B193" s="189" t="s">
        <v>56</v>
      </c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</row>
    <row r="194" spans="1:20" ht="15.75" customHeight="1" hidden="1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</row>
    <row r="195" spans="1:20" ht="15.75" customHeight="1" hidden="1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</row>
    <row r="196" spans="1:20" ht="15.75" customHeight="1" hidden="1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</row>
    <row r="197" spans="1:20" ht="15.75" customHeight="1" hidden="1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</row>
    <row r="198" spans="1:20" ht="15.75" customHeight="1" hidden="1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</row>
    <row r="199" spans="1:20" ht="15.75" customHeight="1" hidden="1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</row>
    <row r="200" spans="1:20" ht="15.75" customHeight="1" hidden="1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</row>
    <row r="201" spans="1:20" ht="15.75" customHeight="1" hidden="1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</row>
    <row r="202" spans="1:20" ht="15.75" customHeight="1" hidden="1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</row>
    <row r="203" spans="1:20" ht="15.75" customHeight="1" hidden="1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</row>
    <row r="204" spans="1:20" ht="15.75" customHeight="1" hidden="1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</row>
    <row r="205" spans="1:20" ht="15.75" customHeight="1" hidden="1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</row>
    <row r="206" spans="1:20" ht="15.75" customHeight="1" hidden="1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</row>
    <row r="207" spans="1:20" ht="15.75" customHeight="1" hidden="1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</row>
    <row r="208" spans="1:20" ht="15.75" customHeight="1" hidden="1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</row>
    <row r="209" spans="1:20" ht="15.75" customHeight="1" hidden="1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</row>
    <row r="210" spans="1:20" ht="15.75" customHeight="1" hidden="1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</row>
    <row r="211" spans="1:20" ht="15.75" customHeight="1" hidden="1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</row>
    <row r="212" spans="1:20" ht="15.75" customHeight="1" hidden="1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</row>
    <row r="213" spans="1:20" ht="15.75" customHeight="1" hidden="1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</row>
    <row r="214" spans="1:20" ht="15.75" customHeight="1" hidden="1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</row>
    <row r="215" spans="1:20" ht="15.75" customHeight="1" hidden="1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 t="s">
        <v>96</v>
      </c>
      <c r="N215" s="189"/>
      <c r="O215" s="189"/>
      <c r="P215" s="189"/>
      <c r="Q215" s="189"/>
      <c r="R215" s="189"/>
      <c r="S215" s="189"/>
      <c r="T215" s="189"/>
    </row>
    <row r="216" spans="1:20" ht="15.75" customHeight="1" hidden="1">
      <c r="A216" s="189"/>
      <c r="B216" s="192" t="s">
        <v>42</v>
      </c>
      <c r="C216" s="192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 t="s">
        <v>97</v>
      </c>
      <c r="N216" s="189"/>
      <c r="O216" s="189"/>
      <c r="P216" s="189"/>
      <c r="Q216" s="189"/>
      <c r="R216" s="189"/>
      <c r="S216" s="189"/>
      <c r="T216" s="189"/>
    </row>
    <row r="217" spans="1:20" ht="15.75" customHeight="1" hidden="1">
      <c r="A217" s="189"/>
      <c r="B217" s="189" t="s">
        <v>98</v>
      </c>
      <c r="C217" s="196"/>
      <c r="D217" s="196"/>
      <c r="E217" s="196"/>
      <c r="F217" s="196"/>
      <c r="G217" s="189"/>
      <c r="H217" s="189"/>
      <c r="I217" s="189"/>
      <c r="J217" s="189"/>
      <c r="K217" s="189"/>
      <c r="L217" s="189"/>
      <c r="M217" s="189" t="s">
        <v>99</v>
      </c>
      <c r="N217" s="189"/>
      <c r="O217" s="189"/>
      <c r="P217" s="189"/>
      <c r="Q217" s="189"/>
      <c r="R217" s="189"/>
      <c r="S217" s="189"/>
      <c r="T217" s="189"/>
    </row>
    <row r="218" spans="1:20" ht="15.75" customHeight="1" hidden="1">
      <c r="A218" s="189"/>
      <c r="B218" s="189" t="s">
        <v>8</v>
      </c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</row>
    <row r="219" spans="1:20" ht="15.75" customHeight="1" hidden="1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</row>
    <row r="220" spans="1:20" ht="15.75" customHeight="1" hidden="1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</row>
    <row r="221" spans="1:20" ht="15.75" customHeight="1" hidden="1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</row>
    <row r="222" spans="1:20" ht="15.75" customHeight="1" hidden="1">
      <c r="A222" s="197" t="s">
        <v>11</v>
      </c>
      <c r="B222" s="198" t="s">
        <v>47</v>
      </c>
      <c r="C222" s="199" t="s">
        <v>13</v>
      </c>
      <c r="D222" s="205" t="s">
        <v>100</v>
      </c>
      <c r="E222" s="239"/>
      <c r="F222" s="239"/>
      <c r="G222" s="240" t="s">
        <v>18</v>
      </c>
      <c r="H222" s="240"/>
      <c r="I222" s="240"/>
      <c r="J222" s="240"/>
      <c r="K222" s="197" t="s">
        <v>49</v>
      </c>
      <c r="L222" s="197"/>
      <c r="M222" s="197"/>
      <c r="N222" s="197"/>
      <c r="O222" s="197"/>
      <c r="P222" s="197"/>
      <c r="Q222" s="197"/>
      <c r="R222" s="198" t="s">
        <v>21</v>
      </c>
      <c r="S222" s="198"/>
      <c r="T222" s="199" t="s">
        <v>22</v>
      </c>
    </row>
    <row r="223" spans="1:20" ht="15.75" customHeight="1" hidden="1">
      <c r="A223" s="197"/>
      <c r="B223" s="203" t="s">
        <v>23</v>
      </c>
      <c r="C223" s="203" t="s">
        <v>24</v>
      </c>
      <c r="D223" s="205"/>
      <c r="E223" s="210"/>
      <c r="F223" s="210"/>
      <c r="G223" s="205" t="s">
        <v>26</v>
      </c>
      <c r="H223" s="206"/>
      <c r="I223" s="206"/>
      <c r="J223" s="206"/>
      <c r="K223" s="205" t="s">
        <v>64</v>
      </c>
      <c r="L223" s="205"/>
      <c r="M223" s="205"/>
      <c r="N223" s="205"/>
      <c r="O223" s="241">
        <v>0.1</v>
      </c>
      <c r="P223" s="241"/>
      <c r="Q223" s="241">
        <v>0.4</v>
      </c>
      <c r="R223" s="203" t="s">
        <v>28</v>
      </c>
      <c r="S223" s="203"/>
      <c r="T223" s="209" t="s">
        <v>28</v>
      </c>
    </row>
    <row r="224" spans="1:20" ht="15.75" customHeight="1" hidden="1">
      <c r="A224" s="197"/>
      <c r="B224" s="203"/>
      <c r="C224" s="203" t="s">
        <v>29</v>
      </c>
      <c r="D224" s="205"/>
      <c r="E224" s="210"/>
      <c r="F224" s="210"/>
      <c r="G224" s="205"/>
      <c r="H224" s="210"/>
      <c r="I224" s="210"/>
      <c r="J224" s="210"/>
      <c r="K224" s="205"/>
      <c r="L224" s="205"/>
      <c r="M224" s="205"/>
      <c r="N224" s="205"/>
      <c r="O224" s="205"/>
      <c r="P224" s="205"/>
      <c r="Q224" s="205"/>
      <c r="R224" s="211" t="s">
        <v>30</v>
      </c>
      <c r="S224" s="211"/>
      <c r="T224" s="209" t="s">
        <v>31</v>
      </c>
    </row>
    <row r="225" spans="1:20" ht="15.75" customHeight="1" hidden="1">
      <c r="A225" s="212"/>
      <c r="B225" s="203"/>
      <c r="C225" s="203"/>
      <c r="D225" s="205"/>
      <c r="E225" s="210"/>
      <c r="F225" s="210"/>
      <c r="G225" s="205"/>
      <c r="H225" s="210"/>
      <c r="I225" s="210"/>
      <c r="J225" s="210"/>
      <c r="K225" s="205"/>
      <c r="L225" s="205"/>
      <c r="M225" s="205"/>
      <c r="N225" s="205"/>
      <c r="O225" s="205"/>
      <c r="P225" s="205"/>
      <c r="Q225" s="205"/>
      <c r="R225" s="211"/>
      <c r="S225" s="211"/>
      <c r="T225" s="209"/>
    </row>
    <row r="226" spans="1:20" ht="15.75" customHeight="1" hidden="1">
      <c r="A226" s="213"/>
      <c r="B226" s="214"/>
      <c r="C226" s="214"/>
      <c r="D226" s="205"/>
      <c r="E226" s="216"/>
      <c r="F226" s="216"/>
      <c r="G226" s="205"/>
      <c r="H226" s="216"/>
      <c r="I226" s="216"/>
      <c r="J226" s="216"/>
      <c r="K226" s="205"/>
      <c r="L226" s="205"/>
      <c r="M226" s="205"/>
      <c r="N226" s="205"/>
      <c r="O226" s="205"/>
      <c r="P226" s="205"/>
      <c r="Q226" s="205"/>
      <c r="R226" s="217"/>
      <c r="S226" s="217"/>
      <c r="T226" s="218"/>
    </row>
    <row r="227" spans="1:20" ht="15.75" customHeight="1" hidden="1">
      <c r="A227" s="218">
        <v>1</v>
      </c>
      <c r="B227" s="218" t="s">
        <v>101</v>
      </c>
      <c r="C227" s="218"/>
      <c r="D227" s="221"/>
      <c r="E227" s="221"/>
      <c r="F227" s="221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18"/>
      <c r="S227" s="218"/>
      <c r="T227" s="218"/>
    </row>
    <row r="228" spans="1:20" ht="15.75" customHeight="1" hidden="1">
      <c r="A228" s="227"/>
      <c r="B228" s="227" t="s">
        <v>102</v>
      </c>
      <c r="C228" s="227"/>
      <c r="D228" s="234"/>
      <c r="E228" s="234"/>
      <c r="F228" s="234"/>
      <c r="G228" s="234"/>
      <c r="H228" s="234"/>
      <c r="I228" s="234"/>
      <c r="J228" s="234"/>
      <c r="K228" s="227"/>
      <c r="L228" s="227"/>
      <c r="M228" s="227"/>
      <c r="N228" s="227"/>
      <c r="O228" s="227"/>
      <c r="P228" s="227"/>
      <c r="Q228" s="227"/>
      <c r="R228" s="221"/>
      <c r="S228" s="221"/>
      <c r="T228" s="221"/>
    </row>
    <row r="229" spans="1:20" ht="15.75" customHeight="1" hidden="1">
      <c r="A229" s="227"/>
      <c r="B229" s="227"/>
      <c r="C229" s="227"/>
      <c r="D229" s="234"/>
      <c r="E229" s="234"/>
      <c r="F229" s="234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1"/>
      <c r="S229" s="221"/>
      <c r="T229" s="221"/>
    </row>
    <row r="230" spans="1:20" ht="15.75" customHeight="1" hidden="1">
      <c r="A230" s="227"/>
      <c r="B230" s="227"/>
      <c r="C230" s="227"/>
      <c r="D230" s="234"/>
      <c r="E230" s="234"/>
      <c r="F230" s="234"/>
      <c r="G230" s="227"/>
      <c r="H230" s="227"/>
      <c r="I230" s="227"/>
      <c r="J230" s="227"/>
      <c r="K230" s="227"/>
      <c r="L230" s="227"/>
      <c r="M230" s="227"/>
      <c r="N230" s="227"/>
      <c r="O230" s="234"/>
      <c r="P230" s="227"/>
      <c r="Q230" s="227"/>
      <c r="R230" s="221"/>
      <c r="S230" s="221"/>
      <c r="T230" s="221"/>
    </row>
    <row r="231" spans="1:20" ht="15.75" customHeight="1" hidden="1">
      <c r="A231" s="227"/>
      <c r="B231" s="227"/>
      <c r="C231" s="227"/>
      <c r="D231" s="234"/>
      <c r="E231" s="234"/>
      <c r="F231" s="234"/>
      <c r="G231" s="227"/>
      <c r="H231" s="227"/>
      <c r="I231" s="227"/>
      <c r="J231" s="227"/>
      <c r="K231" s="227"/>
      <c r="L231" s="227"/>
      <c r="M231" s="227"/>
      <c r="N231" s="227"/>
      <c r="O231" s="234"/>
      <c r="P231" s="227"/>
      <c r="Q231" s="227"/>
      <c r="R231" s="221"/>
      <c r="S231" s="221"/>
      <c r="T231" s="221"/>
    </row>
    <row r="232" spans="1:20" ht="15.75" customHeight="1" hidden="1">
      <c r="A232" s="227"/>
      <c r="B232" s="227" t="s">
        <v>54</v>
      </c>
      <c r="C232" s="227">
        <f>SUM(C228:C230)</f>
        <v>0</v>
      </c>
      <c r="D232" s="235">
        <f>D228*C228+D230</f>
        <v>0</v>
      </c>
      <c r="E232" s="235"/>
      <c r="F232" s="235"/>
      <c r="G232" s="234">
        <f>SUM(G228:G230)</f>
        <v>0</v>
      </c>
      <c r="H232" s="234"/>
      <c r="I232" s="234"/>
      <c r="J232" s="234"/>
      <c r="K232" s="227">
        <f>SUM(K228:K230)</f>
        <v>0</v>
      </c>
      <c r="L232" s="227">
        <f>SUM(L228:L230)</f>
        <v>0</v>
      </c>
      <c r="M232" s="227">
        <f>SUM(M228:M230)</f>
        <v>0</v>
      </c>
      <c r="N232" s="227">
        <f>SUM(N228:N230)</f>
        <v>0</v>
      </c>
      <c r="O232" s="234">
        <f>SUM(O228:O230)</f>
        <v>0</v>
      </c>
      <c r="P232" s="227">
        <f>SUM(P228:P230)</f>
        <v>0</v>
      </c>
      <c r="Q232" s="227">
        <f>SUM(Q228:Q230)</f>
        <v>0</v>
      </c>
      <c r="R232" s="234">
        <f>SUM(R228:R230)</f>
        <v>0</v>
      </c>
      <c r="S232" s="234"/>
      <c r="T232" s="234">
        <f>SUM(T228:T230)</f>
        <v>0</v>
      </c>
    </row>
    <row r="233" spans="1:20" ht="15.75" customHeight="1" hidden="1">
      <c r="A233" s="199"/>
      <c r="B233" s="227"/>
      <c r="C233" s="227"/>
      <c r="D233" s="227"/>
      <c r="E233" s="227"/>
      <c r="F233" s="227"/>
      <c r="G233" s="227"/>
      <c r="H233" s="227"/>
      <c r="I233" s="227"/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34"/>
    </row>
    <row r="234" spans="1:20" ht="15.75" customHeight="1" hidden="1">
      <c r="A234" s="196"/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</row>
    <row r="235" spans="1:20" ht="15.75" customHeight="1" hidden="1">
      <c r="A235" s="196"/>
      <c r="B235" s="196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</row>
    <row r="236" spans="1:20" ht="15.75" customHeight="1" hidden="1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</row>
    <row r="237" spans="1:20" ht="12.75" customHeight="1" hidden="1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</row>
    <row r="238" spans="1:20" ht="15.75" customHeight="1" hidden="1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</row>
    <row r="239" spans="1:20" ht="15.75" customHeight="1" hidden="1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</row>
    <row r="240" spans="1:23" ht="15.75" customHeight="1" hidden="1">
      <c r="A240" s="236" t="s">
        <v>103</v>
      </c>
      <c r="B240" s="236"/>
      <c r="C240" s="236"/>
      <c r="D240" s="236"/>
      <c r="E240" s="236"/>
      <c r="F240" s="236"/>
      <c r="G240" s="236"/>
      <c r="H240" s="236"/>
      <c r="I240" s="236"/>
      <c r="J240" s="236"/>
      <c r="K240" s="236"/>
      <c r="L240" s="236"/>
      <c r="M240" s="236"/>
      <c r="N240" s="236"/>
      <c r="O240" s="236"/>
      <c r="P240" s="236"/>
      <c r="Q240" s="236"/>
      <c r="R240" s="236"/>
      <c r="S240" s="236"/>
      <c r="T240" s="236"/>
      <c r="U240" s="10"/>
      <c r="V240" s="10"/>
      <c r="W240" s="10"/>
    </row>
    <row r="241" spans="1:20" ht="15.75" customHeight="1" hidden="1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</row>
    <row r="242" spans="1:20" ht="17.25" customHeight="1" hidden="1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</row>
    <row r="243" spans="1:20" ht="15.75" customHeight="1" hidden="1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</row>
    <row r="244" spans="1:20" ht="15.75" customHeight="1" hidden="1">
      <c r="A244" s="189"/>
      <c r="B244" s="189" t="s">
        <v>104</v>
      </c>
      <c r="C244" s="189" t="s">
        <v>105</v>
      </c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</row>
    <row r="245" spans="1:20" ht="15.75" customHeight="1" hidden="1">
      <c r="A245" s="189"/>
      <c r="B245" s="189" t="s">
        <v>106</v>
      </c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</row>
    <row r="246" spans="1:20" ht="15.75" customHeight="1" hidden="1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</row>
    <row r="247" spans="1:20" ht="15.75" customHeight="1" hidden="1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</row>
    <row r="248" spans="1:20" ht="15.75" customHeight="1" hidden="1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</row>
    <row r="249" spans="1:20" ht="15.75" customHeight="1" hidden="1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</row>
    <row r="250" spans="1:20" ht="15.75" customHeight="1" hidden="1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</row>
    <row r="251" spans="1:20" ht="15.75" customHeight="1" hidden="1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</row>
    <row r="252" spans="1:20" ht="15.75" customHeight="1" hidden="1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</row>
    <row r="253" spans="1:20" ht="15.75" customHeight="1" hidden="1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</row>
    <row r="254" spans="1:20" ht="15.75" customHeight="1" hidden="1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</row>
    <row r="255" spans="1:20" ht="15.75" customHeight="1" hidden="1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</row>
    <row r="256" spans="1:20" ht="15.75" customHeight="1" hidden="1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</row>
    <row r="257" spans="1:20" ht="15.75" customHeight="1" hidden="1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</row>
    <row r="258" spans="1:20" ht="15.75" customHeight="1" hidden="1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</row>
    <row r="259" spans="1:20" ht="15.75" customHeight="1" hidden="1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</row>
    <row r="260" spans="1:20" ht="15.75" customHeight="1" hidden="1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</row>
    <row r="261" spans="1:20" ht="15.75" customHeight="1" hidden="1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</row>
    <row r="262" spans="1:20" ht="15.75" customHeight="1" hidden="1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</row>
    <row r="263" spans="1:20" ht="15.75" customHeight="1" hidden="1">
      <c r="A263" s="196"/>
      <c r="B263" s="196"/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242"/>
      <c r="S263" s="242"/>
      <c r="T263" s="196"/>
    </row>
    <row r="264" spans="1:20" ht="15.75" customHeight="1" hidden="1">
      <c r="A264" s="196"/>
      <c r="B264" s="243"/>
      <c r="C264" s="243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242"/>
      <c r="S264" s="242"/>
      <c r="T264" s="196"/>
    </row>
    <row r="265" spans="1:20" ht="15.75" customHeight="1" hidden="1">
      <c r="A265" s="196"/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242"/>
      <c r="S265" s="242"/>
      <c r="T265" s="196"/>
    </row>
    <row r="266" spans="1:20" ht="15.75" customHeight="1" hidden="1">
      <c r="A266" s="196"/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242"/>
      <c r="S266" s="242"/>
      <c r="T266" s="196"/>
    </row>
    <row r="267" spans="1:20" ht="15.75" customHeight="1" hidden="1">
      <c r="A267" s="196"/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</row>
    <row r="268" spans="1:20" ht="15.75" customHeight="1" hidden="1">
      <c r="A268" s="196"/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</row>
    <row r="269" spans="1:20" ht="15.75" customHeight="1" hidden="1">
      <c r="A269" s="196"/>
      <c r="B269" s="196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</row>
    <row r="270" spans="1:20" ht="12.75" customHeight="1" hidden="1">
      <c r="A270" s="236"/>
      <c r="B270" s="196"/>
      <c r="C270" s="196"/>
      <c r="D270" s="244"/>
      <c r="E270" s="244"/>
      <c r="F270" s="244"/>
      <c r="G270" s="196"/>
      <c r="H270" s="196"/>
      <c r="I270" s="196"/>
      <c r="J270" s="196"/>
      <c r="K270" s="236"/>
      <c r="L270" s="236"/>
      <c r="M270" s="236"/>
      <c r="N270" s="236"/>
      <c r="O270" s="236"/>
      <c r="P270" s="236"/>
      <c r="Q270" s="236"/>
      <c r="R270" s="196"/>
      <c r="S270" s="196"/>
      <c r="T270" s="196"/>
    </row>
    <row r="271" spans="1:20" ht="12.75" customHeight="1" hidden="1">
      <c r="A271" s="236"/>
      <c r="B271" s="196"/>
      <c r="C271" s="196"/>
      <c r="D271" s="244"/>
      <c r="E271" s="244"/>
      <c r="F271" s="244"/>
      <c r="G271" s="244"/>
      <c r="H271" s="244"/>
      <c r="I271" s="244"/>
      <c r="J271" s="244"/>
      <c r="K271" s="244"/>
      <c r="L271" s="244"/>
      <c r="M271" s="245"/>
      <c r="N271" s="245"/>
      <c r="O271" s="245"/>
      <c r="P271" s="245"/>
      <c r="Q271" s="245"/>
      <c r="R271" s="196"/>
      <c r="S271" s="196"/>
      <c r="T271" s="196"/>
    </row>
    <row r="272" spans="1:20" ht="15.75" customHeight="1" hidden="1">
      <c r="A272" s="236"/>
      <c r="B272" s="196"/>
      <c r="C272" s="196"/>
      <c r="D272" s="244"/>
      <c r="E272" s="244"/>
      <c r="F272" s="244"/>
      <c r="G272" s="244"/>
      <c r="H272" s="244"/>
      <c r="I272" s="244"/>
      <c r="J272" s="244"/>
      <c r="K272" s="244"/>
      <c r="L272" s="244"/>
      <c r="M272" s="245"/>
      <c r="N272" s="245"/>
      <c r="O272" s="245"/>
      <c r="P272" s="245"/>
      <c r="Q272" s="245"/>
      <c r="R272" s="246"/>
      <c r="S272" s="246"/>
      <c r="T272" s="196"/>
    </row>
    <row r="273" spans="1:20" ht="15.75" customHeight="1" hidden="1">
      <c r="A273" s="236"/>
      <c r="B273" s="196"/>
      <c r="C273" s="196"/>
      <c r="D273" s="244"/>
      <c r="E273" s="244"/>
      <c r="F273" s="244"/>
      <c r="G273" s="244"/>
      <c r="H273" s="244"/>
      <c r="I273" s="244"/>
      <c r="J273" s="244"/>
      <c r="K273" s="244"/>
      <c r="L273" s="244"/>
      <c r="M273" s="245"/>
      <c r="N273" s="245"/>
      <c r="O273" s="245"/>
      <c r="P273" s="245"/>
      <c r="Q273" s="245"/>
      <c r="R273" s="246"/>
      <c r="S273" s="246"/>
      <c r="T273" s="196"/>
    </row>
    <row r="274" spans="1:20" ht="12" customHeight="1" hidden="1">
      <c r="A274" s="236"/>
      <c r="B274" s="196"/>
      <c r="C274" s="196"/>
      <c r="D274" s="244"/>
      <c r="E274" s="244"/>
      <c r="F274" s="244"/>
      <c r="G274" s="244"/>
      <c r="H274" s="244"/>
      <c r="I274" s="244"/>
      <c r="J274" s="244"/>
      <c r="K274" s="244"/>
      <c r="L274" s="244"/>
      <c r="M274" s="245"/>
      <c r="N274" s="245"/>
      <c r="O274" s="245"/>
      <c r="P274" s="245"/>
      <c r="Q274" s="245"/>
      <c r="R274" s="246"/>
      <c r="S274" s="246"/>
      <c r="T274" s="196"/>
    </row>
    <row r="275" spans="1:20" ht="15.75" customHeight="1" hidden="1">
      <c r="A275" s="196"/>
      <c r="B275" s="196"/>
      <c r="C275" s="196"/>
      <c r="D275" s="247"/>
      <c r="E275" s="247"/>
      <c r="F275" s="247"/>
      <c r="G275" s="248"/>
      <c r="H275" s="248"/>
      <c r="I275" s="248"/>
      <c r="J275" s="248"/>
      <c r="K275" s="248"/>
      <c r="L275" s="248"/>
      <c r="M275" s="249"/>
      <c r="N275" s="248"/>
      <c r="O275" s="248"/>
      <c r="P275" s="248"/>
      <c r="Q275" s="248"/>
      <c r="R275" s="250"/>
      <c r="S275" s="250"/>
      <c r="T275" s="250"/>
    </row>
    <row r="276" spans="1:20" ht="15.75" customHeight="1" hidden="1">
      <c r="A276" s="196"/>
      <c r="B276" s="196"/>
      <c r="C276" s="196"/>
      <c r="D276" s="247"/>
      <c r="E276" s="247"/>
      <c r="F276" s="247"/>
      <c r="G276" s="196"/>
      <c r="H276" s="196"/>
      <c r="I276" s="196"/>
      <c r="J276" s="196"/>
      <c r="K276" s="196"/>
      <c r="L276" s="196"/>
      <c r="M276" s="249"/>
      <c r="N276" s="248"/>
      <c r="O276" s="196"/>
      <c r="P276" s="196"/>
      <c r="Q276" s="196"/>
      <c r="R276" s="250"/>
      <c r="S276" s="250"/>
      <c r="T276" s="250"/>
    </row>
    <row r="277" spans="1:20" ht="15.75" customHeight="1" hidden="1">
      <c r="A277" s="196"/>
      <c r="B277" s="196"/>
      <c r="C277" s="196"/>
      <c r="D277" s="247"/>
      <c r="E277" s="247"/>
      <c r="F277" s="247"/>
      <c r="G277" s="196"/>
      <c r="H277" s="196"/>
      <c r="I277" s="196"/>
      <c r="J277" s="196"/>
      <c r="K277" s="196"/>
      <c r="L277" s="196"/>
      <c r="M277" s="250"/>
      <c r="N277" s="248"/>
      <c r="O277" s="196"/>
      <c r="P277" s="196"/>
      <c r="Q277" s="196"/>
      <c r="R277" s="250"/>
      <c r="S277" s="250"/>
      <c r="T277" s="250"/>
    </row>
    <row r="278" spans="1:20" ht="15.75" customHeight="1" hidden="1">
      <c r="A278" s="196"/>
      <c r="B278" s="196"/>
      <c r="C278" s="196"/>
      <c r="D278" s="247"/>
      <c r="E278" s="247"/>
      <c r="F278" s="247"/>
      <c r="G278" s="196"/>
      <c r="H278" s="196"/>
      <c r="I278" s="196"/>
      <c r="J278" s="196"/>
      <c r="K278" s="196"/>
      <c r="L278" s="196"/>
      <c r="M278" s="250"/>
      <c r="N278" s="248"/>
      <c r="O278" s="196"/>
      <c r="P278" s="196"/>
      <c r="Q278" s="196"/>
      <c r="R278" s="250"/>
      <c r="S278" s="250"/>
      <c r="T278" s="250"/>
    </row>
    <row r="279" spans="1:20" ht="15.75" customHeight="1" hidden="1">
      <c r="A279" s="196"/>
      <c r="B279" s="196"/>
      <c r="C279" s="196"/>
      <c r="D279" s="247"/>
      <c r="E279" s="247"/>
      <c r="F279" s="247"/>
      <c r="G279" s="196"/>
      <c r="H279" s="196"/>
      <c r="I279" s="196"/>
      <c r="J279" s="196"/>
      <c r="K279" s="196"/>
      <c r="L279" s="196"/>
      <c r="M279" s="250"/>
      <c r="N279" s="248"/>
      <c r="O279" s="196"/>
      <c r="P279" s="196"/>
      <c r="Q279" s="196"/>
      <c r="R279" s="250"/>
      <c r="S279" s="250"/>
      <c r="T279" s="250"/>
    </row>
    <row r="280" spans="1:20" ht="15.75" customHeight="1" hidden="1">
      <c r="A280" s="196"/>
      <c r="B280" s="196"/>
      <c r="C280" s="196"/>
      <c r="D280" s="247"/>
      <c r="E280" s="247"/>
      <c r="F280" s="247"/>
      <c r="G280" s="196"/>
      <c r="H280" s="196"/>
      <c r="I280" s="196"/>
      <c r="J280" s="196"/>
      <c r="K280" s="196"/>
      <c r="L280" s="196"/>
      <c r="M280" s="250"/>
      <c r="N280" s="248"/>
      <c r="O280" s="196"/>
      <c r="P280" s="196"/>
      <c r="Q280" s="196"/>
      <c r="R280" s="250"/>
      <c r="S280" s="250"/>
      <c r="T280" s="250"/>
    </row>
    <row r="281" spans="1:20" ht="15.75" customHeight="1" hidden="1">
      <c r="A281" s="196"/>
      <c r="B281" s="196"/>
      <c r="C281" s="196"/>
      <c r="D281" s="247"/>
      <c r="E281" s="247"/>
      <c r="F281" s="247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250"/>
      <c r="S281" s="250"/>
      <c r="T281" s="250"/>
    </row>
    <row r="282" spans="1:20" ht="15.75" customHeight="1" hidden="1">
      <c r="A282" s="196"/>
      <c r="B282" s="196"/>
      <c r="C282" s="196"/>
      <c r="D282" s="247"/>
      <c r="E282" s="247"/>
      <c r="F282" s="247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250"/>
      <c r="S282" s="250"/>
      <c r="T282" s="250"/>
    </row>
    <row r="283" spans="1:20" ht="15.75" customHeight="1" hidden="1">
      <c r="A283" s="196"/>
      <c r="B283" s="196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</row>
    <row r="284" spans="1:20" ht="15.75" customHeight="1" hidden="1">
      <c r="A284" s="196"/>
      <c r="B284" s="196"/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</row>
    <row r="285" spans="1:21" ht="15.75" customHeight="1" hidden="1">
      <c r="A285" s="242"/>
      <c r="B285" s="242"/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51"/>
      <c r="N285" s="9"/>
      <c r="O285" s="9"/>
      <c r="P285" s="9"/>
      <c r="Q285" s="9"/>
      <c r="R285" s="9"/>
      <c r="S285" s="9"/>
      <c r="T285" s="9"/>
      <c r="U285" s="252"/>
    </row>
    <row r="286" spans="1:21" ht="15.75" customHeight="1" hidden="1">
      <c r="A286" s="242"/>
      <c r="B286" s="242"/>
      <c r="C286" s="242"/>
      <c r="D286" s="242"/>
      <c r="E286" s="242"/>
      <c r="F286" s="242"/>
      <c r="G286" s="242"/>
      <c r="H286" s="242"/>
      <c r="I286" s="242"/>
      <c r="J286" s="242"/>
      <c r="K286" s="242"/>
      <c r="L286" s="242"/>
      <c r="M286" s="5" t="s">
        <v>107</v>
      </c>
      <c r="N286" s="5"/>
      <c r="O286" s="5"/>
      <c r="P286" s="5"/>
      <c r="Q286" s="5"/>
      <c r="R286" s="4"/>
      <c r="S286" s="4"/>
      <c r="T286" s="251"/>
      <c r="U286" s="252"/>
    </row>
    <row r="287" spans="1:20" ht="15.75" customHeight="1" hidden="1">
      <c r="A287" s="196"/>
      <c r="B287" s="196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9" t="s">
        <v>108</v>
      </c>
      <c r="N287" s="9"/>
      <c r="O287" s="9"/>
      <c r="P287" s="9"/>
      <c r="Q287" s="9"/>
      <c r="R287" s="9"/>
      <c r="S287" s="12"/>
      <c r="T287" s="16"/>
    </row>
    <row r="288" spans="1:20" ht="15.75" customHeight="1" hidden="1">
      <c r="A288" s="196"/>
      <c r="B288" s="196"/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9" t="s">
        <v>109</v>
      </c>
      <c r="N288" s="9"/>
      <c r="O288" s="9"/>
      <c r="P288" s="9"/>
      <c r="Q288" s="9"/>
      <c r="R288" s="9"/>
      <c r="S288" s="12"/>
      <c r="T288" s="16"/>
    </row>
    <row r="289" spans="1:20" ht="15.75" customHeight="1" hidden="1">
      <c r="A289" s="196"/>
      <c r="B289" s="11" t="s">
        <v>110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96"/>
      <c r="M289" s="96"/>
      <c r="N289" s="5"/>
      <c r="O289" s="5"/>
      <c r="P289" s="5"/>
      <c r="Q289" s="5"/>
      <c r="R289" s="5"/>
      <c r="S289" s="5"/>
      <c r="T289" s="5"/>
    </row>
    <row r="290" spans="1:20" ht="15.75" customHeight="1" hidden="1">
      <c r="A290" s="189"/>
      <c r="B290" s="192"/>
      <c r="C290" s="193"/>
      <c r="D290" s="189"/>
      <c r="E290" s="189"/>
      <c r="F290" s="189"/>
      <c r="G290" s="189"/>
      <c r="H290" s="189"/>
      <c r="I290" s="189"/>
      <c r="J290" s="189"/>
      <c r="K290" s="189"/>
      <c r="L290" s="189"/>
      <c r="M290" s="190"/>
      <c r="N290" s="190"/>
      <c r="O290" s="190"/>
      <c r="P290" s="190"/>
      <c r="Q290" s="190"/>
      <c r="R290" s="190"/>
      <c r="S290" s="191"/>
      <c r="T290" s="189"/>
    </row>
    <row r="291" spans="1:20" ht="18.75" customHeight="1" hidden="1">
      <c r="A291" s="189"/>
      <c r="B291" s="253" t="s">
        <v>111</v>
      </c>
      <c r="C291" s="253"/>
      <c r="D291" s="253"/>
      <c r="E291" s="253"/>
      <c r="F291" s="253"/>
      <c r="G291" s="253"/>
      <c r="H291" s="253"/>
      <c r="I291" s="253"/>
      <c r="J291" s="253"/>
      <c r="K291" s="253"/>
      <c r="L291" s="189"/>
      <c r="M291" s="190"/>
      <c r="N291" s="190"/>
      <c r="O291" s="190"/>
      <c r="P291" s="190"/>
      <c r="Q291" s="190"/>
      <c r="R291" s="190"/>
      <c r="S291" s="191"/>
      <c r="T291" s="189"/>
    </row>
    <row r="292" spans="1:20" ht="15.75" customHeight="1" hidden="1">
      <c r="A292" s="189"/>
      <c r="B292" s="236" t="s">
        <v>8</v>
      </c>
      <c r="C292" s="236"/>
      <c r="D292" s="236"/>
      <c r="E292" s="236"/>
      <c r="F292" s="236"/>
      <c r="G292" s="236"/>
      <c r="H292" s="236"/>
      <c r="I292" s="236"/>
      <c r="J292" s="236"/>
      <c r="K292" s="236"/>
      <c r="L292" s="189"/>
      <c r="M292" s="196"/>
      <c r="N292" s="196"/>
      <c r="O292" s="196"/>
      <c r="P292" s="196"/>
      <c r="Q292" s="196"/>
      <c r="R292" s="196"/>
      <c r="S292" s="196"/>
      <c r="T292" s="189"/>
    </row>
    <row r="293" spans="1:20" ht="15.75" customHeight="1" hidden="1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96"/>
      <c r="N293" s="196"/>
      <c r="O293" s="196"/>
      <c r="P293" s="196"/>
      <c r="Q293" s="196"/>
      <c r="R293" s="196"/>
      <c r="S293" s="196"/>
      <c r="T293" s="189"/>
    </row>
    <row r="294" spans="1:20" ht="15.75" customHeight="1" hidden="1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96"/>
      <c r="N294" s="196"/>
      <c r="O294" s="196"/>
      <c r="P294" s="196"/>
      <c r="Q294" s="196"/>
      <c r="R294" s="196"/>
      <c r="S294" s="196"/>
      <c r="T294" s="189"/>
    </row>
    <row r="295" spans="1:20" ht="15.75" customHeight="1" hidden="1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</row>
    <row r="296" spans="1:20" ht="12.75" customHeight="1" hidden="1">
      <c r="A296" s="18" t="s">
        <v>11</v>
      </c>
      <c r="B296" s="29" t="s">
        <v>47</v>
      </c>
      <c r="C296" s="31" t="s">
        <v>13</v>
      </c>
      <c r="D296" s="21" t="s">
        <v>14</v>
      </c>
      <c r="E296" s="21" t="s">
        <v>15</v>
      </c>
      <c r="F296" s="21"/>
      <c r="G296" s="92" t="s">
        <v>112</v>
      </c>
      <c r="H296" s="254"/>
      <c r="I296" s="254"/>
      <c r="J296" s="254"/>
      <c r="K296" s="255" t="s">
        <v>62</v>
      </c>
      <c r="L296" s="69" t="s">
        <v>49</v>
      </c>
      <c r="M296" s="69"/>
      <c r="N296" s="69"/>
      <c r="O296" s="69"/>
      <c r="P296" s="69"/>
      <c r="Q296" s="69"/>
      <c r="R296" s="29" t="s">
        <v>22</v>
      </c>
      <c r="S296" s="30" t="s">
        <v>63</v>
      </c>
      <c r="T296" s="31" t="s">
        <v>22</v>
      </c>
    </row>
    <row r="297" spans="1:20" ht="12.75" customHeight="1" hidden="1">
      <c r="A297" s="18"/>
      <c r="B297" s="44" t="s">
        <v>23</v>
      </c>
      <c r="C297" s="44" t="s">
        <v>24</v>
      </c>
      <c r="D297" s="21"/>
      <c r="E297" s="21"/>
      <c r="F297" s="157"/>
      <c r="G297" s="25">
        <v>0.5</v>
      </c>
      <c r="H297" s="256"/>
      <c r="I297" s="256"/>
      <c r="J297" s="256"/>
      <c r="K297" s="25" t="s">
        <v>113</v>
      </c>
      <c r="L297" s="38"/>
      <c r="M297" s="39"/>
      <c r="N297" s="25"/>
      <c r="O297" s="257" t="s">
        <v>65</v>
      </c>
      <c r="P297" s="39" t="s">
        <v>66</v>
      </c>
      <c r="Q297" s="43"/>
      <c r="R297" s="44" t="s">
        <v>28</v>
      </c>
      <c r="S297" s="30"/>
      <c r="T297" s="45" t="s">
        <v>114</v>
      </c>
    </row>
    <row r="298" spans="1:20" ht="12.75" customHeight="1" hidden="1">
      <c r="A298" s="18"/>
      <c r="B298" s="44"/>
      <c r="C298" s="44" t="s">
        <v>29</v>
      </c>
      <c r="D298" s="21"/>
      <c r="E298" s="21"/>
      <c r="F298" s="159"/>
      <c r="G298" s="25"/>
      <c r="H298" s="160"/>
      <c r="I298" s="160"/>
      <c r="J298" s="160"/>
      <c r="K298" s="25"/>
      <c r="L298" s="25"/>
      <c r="M298" s="39"/>
      <c r="N298" s="25"/>
      <c r="O298" s="257"/>
      <c r="P298" s="39"/>
      <c r="Q298" s="39"/>
      <c r="R298" s="47" t="s">
        <v>30</v>
      </c>
      <c r="S298" s="30"/>
      <c r="T298" s="45"/>
    </row>
    <row r="299" spans="1:20" ht="12.75" customHeight="1" hidden="1">
      <c r="A299" s="49"/>
      <c r="B299" s="44"/>
      <c r="C299" s="44"/>
      <c r="D299" s="21"/>
      <c r="E299" s="21"/>
      <c r="F299" s="159"/>
      <c r="G299" s="25"/>
      <c r="H299" s="160"/>
      <c r="I299" s="160"/>
      <c r="J299" s="160"/>
      <c r="K299" s="25"/>
      <c r="L299" s="25"/>
      <c r="M299" s="39"/>
      <c r="N299" s="25"/>
      <c r="O299" s="257"/>
      <c r="P299" s="39"/>
      <c r="Q299" s="39"/>
      <c r="R299" s="47" t="s">
        <v>9</v>
      </c>
      <c r="S299" s="30"/>
      <c r="T299" s="45" t="s">
        <v>9</v>
      </c>
    </row>
    <row r="300" spans="1:20" ht="51" customHeight="1" hidden="1">
      <c r="A300" s="50"/>
      <c r="B300" s="51"/>
      <c r="C300" s="51"/>
      <c r="D300" s="21"/>
      <c r="E300" s="21"/>
      <c r="F300" s="162"/>
      <c r="G300" s="25"/>
      <c r="H300" s="163"/>
      <c r="I300" s="163"/>
      <c r="J300" s="163"/>
      <c r="K300" s="25"/>
      <c r="L300" s="25"/>
      <c r="M300" s="39"/>
      <c r="N300" s="25"/>
      <c r="O300" s="257"/>
      <c r="P300" s="39"/>
      <c r="Q300" s="39"/>
      <c r="R300" s="52"/>
      <c r="S300" s="30"/>
      <c r="T300" s="53"/>
    </row>
    <row r="301" spans="1:20" ht="50.25" customHeight="1" hidden="1">
      <c r="A301" s="55">
        <v>1</v>
      </c>
      <c r="B301" s="258" t="s">
        <v>115</v>
      </c>
      <c r="C301" s="169">
        <v>1</v>
      </c>
      <c r="D301" s="58">
        <v>2912</v>
      </c>
      <c r="E301" s="59">
        <v>10</v>
      </c>
      <c r="F301" s="59"/>
      <c r="G301" s="60">
        <f>D301*G297*C301</f>
        <v>1456</v>
      </c>
      <c r="H301" s="60"/>
      <c r="I301" s="60"/>
      <c r="J301" s="60"/>
      <c r="K301" s="60">
        <f>(G301+D301)*50%</f>
        <v>2184</v>
      </c>
      <c r="L301" s="77"/>
      <c r="M301" s="77"/>
      <c r="N301" s="77"/>
      <c r="O301" s="77"/>
      <c r="P301" s="77"/>
      <c r="Q301" s="77"/>
      <c r="R301" s="80">
        <f aca="true" t="shared" si="33" ref="R301:R310">D301*C301+G301+K301+L301+M301+N301+O301+P301+Q301</f>
        <v>6552</v>
      </c>
      <c r="S301" s="80" t="e">
        <f>R301+#REF!</f>
        <v>#REF!</v>
      </c>
      <c r="T301" s="80">
        <f aca="true" t="shared" si="34" ref="T301:T312">R301*12</f>
        <v>78624</v>
      </c>
    </row>
    <row r="302" spans="1:20" ht="21" customHeight="1" hidden="1">
      <c r="A302" s="55"/>
      <c r="B302" s="92"/>
      <c r="C302" s="92"/>
      <c r="D302" s="71"/>
      <c r="E302" s="72" t="s">
        <v>116</v>
      </c>
      <c r="F302" s="72"/>
      <c r="G302" s="77"/>
      <c r="H302" s="77"/>
      <c r="I302" s="77"/>
      <c r="J302" s="77"/>
      <c r="K302" s="78"/>
      <c r="L302" s="78"/>
      <c r="M302" s="78"/>
      <c r="N302" s="78"/>
      <c r="O302" s="78"/>
      <c r="P302" s="78"/>
      <c r="Q302" s="78"/>
      <c r="R302" s="80">
        <f t="shared" si="33"/>
        <v>0</v>
      </c>
      <c r="S302" s="80" t="e">
        <f>R302+#REF!</f>
        <v>#REF!</v>
      </c>
      <c r="T302" s="80">
        <f t="shared" si="34"/>
        <v>0</v>
      </c>
    </row>
    <row r="303" spans="1:20" ht="32.25" customHeight="1" hidden="1">
      <c r="A303" s="55">
        <v>2</v>
      </c>
      <c r="B303" s="259" t="s">
        <v>70</v>
      </c>
      <c r="C303" s="259">
        <v>1</v>
      </c>
      <c r="D303" s="260">
        <v>2912</v>
      </c>
      <c r="E303" s="261">
        <v>10</v>
      </c>
      <c r="F303" s="261"/>
      <c r="G303" s="262">
        <f>D303*50%*C303</f>
        <v>1456</v>
      </c>
      <c r="H303" s="262"/>
      <c r="I303" s="262"/>
      <c r="J303" s="262"/>
      <c r="K303" s="263">
        <f>(D303*C303+G303)*50%</f>
        <v>2184</v>
      </c>
      <c r="L303" s="263"/>
      <c r="M303" s="263"/>
      <c r="N303" s="263"/>
      <c r="O303" s="78"/>
      <c r="P303" s="78"/>
      <c r="Q303" s="78"/>
      <c r="R303" s="80">
        <f t="shared" si="33"/>
        <v>6552</v>
      </c>
      <c r="S303" s="80" t="e">
        <f>R303+#REF!</f>
        <v>#REF!</v>
      </c>
      <c r="T303" s="80">
        <f t="shared" si="34"/>
        <v>78624</v>
      </c>
    </row>
    <row r="304" spans="1:20" ht="34.5" customHeight="1" hidden="1">
      <c r="A304" s="55"/>
      <c r="B304" s="92"/>
      <c r="C304" s="92"/>
      <c r="D304" s="71"/>
      <c r="E304" s="72"/>
      <c r="F304" s="72"/>
      <c r="G304" s="77"/>
      <c r="H304" s="77"/>
      <c r="I304" s="77"/>
      <c r="J304" s="77"/>
      <c r="K304" s="78"/>
      <c r="L304" s="78"/>
      <c r="M304" s="78"/>
      <c r="N304" s="78"/>
      <c r="O304" s="78"/>
      <c r="P304" s="78"/>
      <c r="Q304" s="78"/>
      <c r="R304" s="80">
        <f t="shared" si="33"/>
        <v>0</v>
      </c>
      <c r="S304" s="80" t="e">
        <f>R304+#REF!</f>
        <v>#REF!</v>
      </c>
      <c r="T304" s="80">
        <f t="shared" si="34"/>
        <v>0</v>
      </c>
    </row>
    <row r="305" spans="1:20" ht="33.75" customHeight="1" hidden="1">
      <c r="A305" s="55">
        <v>4</v>
      </c>
      <c r="B305" s="259" t="s">
        <v>71</v>
      </c>
      <c r="C305" s="259">
        <v>2</v>
      </c>
      <c r="D305" s="260">
        <v>2624</v>
      </c>
      <c r="E305" s="261">
        <v>8</v>
      </c>
      <c r="F305" s="261"/>
      <c r="G305" s="262">
        <f>D305*C305*G297</f>
        <v>2624</v>
      </c>
      <c r="H305" s="262"/>
      <c r="I305" s="262"/>
      <c r="J305" s="262"/>
      <c r="K305" s="263">
        <f>(D305*C305+G305)*25%</f>
        <v>1968</v>
      </c>
      <c r="L305" s="263"/>
      <c r="M305" s="263"/>
      <c r="N305" s="263"/>
      <c r="O305" s="78"/>
      <c r="P305" s="78"/>
      <c r="Q305" s="78"/>
      <c r="R305" s="80">
        <f t="shared" si="33"/>
        <v>9840</v>
      </c>
      <c r="S305" s="80" t="e">
        <f>R305+#REF!</f>
        <v>#REF!</v>
      </c>
      <c r="T305" s="80">
        <f t="shared" si="34"/>
        <v>118080</v>
      </c>
    </row>
    <row r="306" spans="1:20" ht="32.25" customHeight="1" hidden="1">
      <c r="A306" s="55"/>
      <c r="B306" s="92"/>
      <c r="C306" s="92"/>
      <c r="D306" s="71"/>
      <c r="E306" s="72"/>
      <c r="F306" s="72"/>
      <c r="G306" s="77"/>
      <c r="H306" s="77"/>
      <c r="I306" s="77"/>
      <c r="J306" s="77"/>
      <c r="K306" s="78"/>
      <c r="L306" s="78"/>
      <c r="M306" s="78"/>
      <c r="N306" s="78"/>
      <c r="O306" s="78"/>
      <c r="P306" s="78"/>
      <c r="Q306" s="78"/>
      <c r="R306" s="80">
        <f t="shared" si="33"/>
        <v>0</v>
      </c>
      <c r="S306" s="80" t="e">
        <f>R306+#REF!</f>
        <v>#REF!</v>
      </c>
      <c r="T306" s="80">
        <f t="shared" si="34"/>
        <v>0</v>
      </c>
    </row>
    <row r="307" spans="1:20" ht="32.25" customHeight="1" hidden="1">
      <c r="A307" s="55">
        <v>5</v>
      </c>
      <c r="B307" s="259"/>
      <c r="C307" s="259"/>
      <c r="D307" s="260"/>
      <c r="E307" s="261"/>
      <c r="F307" s="261"/>
      <c r="G307" s="262"/>
      <c r="H307" s="262"/>
      <c r="I307" s="262"/>
      <c r="J307" s="262"/>
      <c r="K307" s="263"/>
      <c r="L307" s="263"/>
      <c r="M307" s="263"/>
      <c r="N307" s="263"/>
      <c r="O307" s="78"/>
      <c r="P307" s="78"/>
      <c r="Q307" s="78"/>
      <c r="R307" s="80">
        <f t="shared" si="33"/>
        <v>0</v>
      </c>
      <c r="S307" s="80" t="e">
        <f>R307+#REF!</f>
        <v>#REF!</v>
      </c>
      <c r="T307" s="80">
        <f t="shared" si="34"/>
        <v>0</v>
      </c>
    </row>
    <row r="308" spans="1:20" ht="32.25" customHeight="1" hidden="1">
      <c r="A308" s="55">
        <v>6</v>
      </c>
      <c r="B308" s="90" t="s">
        <v>117</v>
      </c>
      <c r="C308" s="90">
        <v>1</v>
      </c>
      <c r="D308" s="58">
        <v>2176</v>
      </c>
      <c r="E308" s="59">
        <v>5</v>
      </c>
      <c r="F308" s="59"/>
      <c r="G308" s="60">
        <f>D308*C308*50%</f>
        <v>1088</v>
      </c>
      <c r="H308" s="60"/>
      <c r="I308" s="60"/>
      <c r="J308" s="60"/>
      <c r="K308" s="85"/>
      <c r="L308" s="85"/>
      <c r="M308" s="78"/>
      <c r="N308" s="78"/>
      <c r="O308" s="78"/>
      <c r="P308" s="78"/>
      <c r="Q308" s="78"/>
      <c r="R308" s="80">
        <f t="shared" si="33"/>
        <v>3264</v>
      </c>
      <c r="S308" s="80" t="e">
        <f>R308+#REF!</f>
        <v>#REF!</v>
      </c>
      <c r="T308" s="80">
        <f t="shared" si="34"/>
        <v>39168</v>
      </c>
    </row>
    <row r="309" spans="1:20" ht="30" customHeight="1" hidden="1">
      <c r="A309" s="55">
        <v>7</v>
      </c>
      <c r="B309" s="90" t="s">
        <v>118</v>
      </c>
      <c r="C309" s="90">
        <v>4.5</v>
      </c>
      <c r="D309" s="58">
        <v>2032</v>
      </c>
      <c r="E309" s="59">
        <v>4</v>
      </c>
      <c r="F309" s="59"/>
      <c r="G309" s="60">
        <f>(D309*50%)*C309</f>
        <v>4572</v>
      </c>
      <c r="H309" s="60"/>
      <c r="I309" s="60"/>
      <c r="J309" s="60"/>
      <c r="K309" s="85">
        <f>(D309*C309+G309)*25%</f>
        <v>3429</v>
      </c>
      <c r="L309" s="85"/>
      <c r="M309" s="85"/>
      <c r="N309" s="85"/>
      <c r="O309" s="78"/>
      <c r="P309" s="78"/>
      <c r="Q309" s="78"/>
      <c r="R309" s="80">
        <f t="shared" si="33"/>
        <v>17145</v>
      </c>
      <c r="S309" s="80" t="e">
        <f>R309+#REF!</f>
        <v>#REF!</v>
      </c>
      <c r="T309" s="80">
        <f t="shared" si="34"/>
        <v>205740</v>
      </c>
    </row>
    <row r="310" spans="1:20" ht="30.75" customHeight="1" hidden="1">
      <c r="A310" s="55">
        <v>8</v>
      </c>
      <c r="B310" s="92" t="s">
        <v>119</v>
      </c>
      <c r="C310" s="92"/>
      <c r="D310" s="71"/>
      <c r="E310" s="72"/>
      <c r="F310" s="72"/>
      <c r="G310" s="78">
        <f>D310*50%</f>
        <v>0</v>
      </c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80">
        <f t="shared" si="33"/>
        <v>0</v>
      </c>
      <c r="S310" s="80" t="e">
        <f>R310+#REF!</f>
        <v>#REF!</v>
      </c>
      <c r="T310" s="80">
        <f t="shared" si="34"/>
        <v>0</v>
      </c>
    </row>
    <row r="311" spans="1:20" ht="23.25" customHeight="1" hidden="1">
      <c r="A311" s="69">
        <v>8</v>
      </c>
      <c r="B311" s="264"/>
      <c r="C311" s="178"/>
      <c r="D311" s="58"/>
      <c r="E311" s="59"/>
      <c r="F311" s="179"/>
      <c r="G311" s="83"/>
      <c r="H311" s="180"/>
      <c r="I311" s="180"/>
      <c r="J311" s="180"/>
      <c r="K311" s="83"/>
      <c r="L311" s="83"/>
      <c r="M311" s="83"/>
      <c r="N311" s="83"/>
      <c r="O311" s="181">
        <f>D312*10%*C311</f>
        <v>0</v>
      </c>
      <c r="P311" s="69"/>
      <c r="Q311" s="69"/>
      <c r="R311" s="80"/>
      <c r="S311" s="80" t="e">
        <f>R311+#REF!</f>
        <v>#REF!</v>
      </c>
      <c r="T311" s="80">
        <f t="shared" si="34"/>
        <v>0</v>
      </c>
    </row>
    <row r="312" spans="1:20" ht="15.75" customHeight="1" hidden="1">
      <c r="A312" s="69"/>
      <c r="B312" s="265"/>
      <c r="C312" s="178"/>
      <c r="D312" s="58"/>
      <c r="E312" s="59"/>
      <c r="F312" s="59"/>
      <c r="G312" s="83"/>
      <c r="H312" s="57"/>
      <c r="I312" s="57"/>
      <c r="J312" s="57"/>
      <c r="K312" s="83"/>
      <c r="L312" s="83"/>
      <c r="M312" s="83"/>
      <c r="N312" s="83"/>
      <c r="O312" s="181"/>
      <c r="P312" s="69"/>
      <c r="Q312" s="69"/>
      <c r="R312" s="80">
        <f>D312*C311+G311+J312+K311+L311+M311+N311+O311+P311+Q311</f>
        <v>0</v>
      </c>
      <c r="S312" s="80" t="e">
        <f>R312+#REF!</f>
        <v>#REF!</v>
      </c>
      <c r="T312" s="80">
        <f t="shared" si="34"/>
        <v>0</v>
      </c>
    </row>
    <row r="313" spans="1:20" ht="15.75" customHeight="1" hidden="1">
      <c r="A313" s="69"/>
      <c r="B313" s="266"/>
      <c r="C313" s="92"/>
      <c r="D313" s="71"/>
      <c r="E313" s="71"/>
      <c r="F313" s="71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80"/>
      <c r="S313" s="80"/>
      <c r="T313" s="80"/>
    </row>
    <row r="314" spans="1:20" ht="15.75" customHeight="1" hidden="1">
      <c r="A314" s="92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78"/>
      <c r="O314" s="78"/>
      <c r="P314" s="78"/>
      <c r="Q314" s="78"/>
      <c r="R314" s="80"/>
      <c r="S314" s="80"/>
      <c r="T314" s="80"/>
    </row>
    <row r="315" spans="1:20" ht="15.75" customHeight="1" hidden="1">
      <c r="A315" s="92"/>
      <c r="B315" s="92"/>
      <c r="C315" s="92"/>
      <c r="D315" s="71"/>
      <c r="E315" s="71"/>
      <c r="F315" s="71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80"/>
      <c r="S315" s="80"/>
      <c r="T315" s="80"/>
    </row>
    <row r="316" spans="1:20" ht="15.75" customHeight="1" hidden="1">
      <c r="A316" s="92"/>
      <c r="B316" s="92"/>
      <c r="C316" s="92"/>
      <c r="D316" s="173"/>
      <c r="E316" s="173"/>
      <c r="F316" s="173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80"/>
      <c r="S316" s="80"/>
      <c r="T316" s="80"/>
    </row>
    <row r="317" spans="1:26" ht="15.75" customHeight="1" hidden="1">
      <c r="A317" s="92"/>
      <c r="B317" s="92" t="s">
        <v>37</v>
      </c>
      <c r="C317" s="78">
        <f>SUM(C301:C316)</f>
        <v>9.5</v>
      </c>
      <c r="D317" s="173">
        <f>D301+D304*C304+D305*C305+D306*C306+D307*C307+D308*C308+D309*C309+D310+D303*C303+D312*C311</f>
        <v>22392</v>
      </c>
      <c r="E317" s="173"/>
      <c r="F317" s="173"/>
      <c r="G317" s="78">
        <f>SUM(G301:G316)</f>
        <v>11196</v>
      </c>
      <c r="H317" s="78"/>
      <c r="I317" s="78"/>
      <c r="J317" s="78"/>
      <c r="K317" s="78">
        <f>SUM(K301:K312)</f>
        <v>9765</v>
      </c>
      <c r="L317" s="78">
        <f>SUM(L301:L312)</f>
        <v>0</v>
      </c>
      <c r="M317" s="78">
        <f>SUM(M301:M312)</f>
        <v>0</v>
      </c>
      <c r="N317" s="78">
        <f>SUM(N301:N312)</f>
        <v>0</v>
      </c>
      <c r="O317" s="78">
        <f>SUM(O301:O312)</f>
        <v>0</v>
      </c>
      <c r="P317" s="78">
        <f>SUM(P301:P312)</f>
        <v>0</v>
      </c>
      <c r="Q317" s="78">
        <f>SUM(Q301:Q312)</f>
        <v>0</v>
      </c>
      <c r="R317" s="182">
        <f>SUM(R301:R316)</f>
        <v>43353</v>
      </c>
      <c r="S317" s="182" t="e">
        <f>SUM(S301:S316)</f>
        <v>#REF!</v>
      </c>
      <c r="T317" s="78">
        <f>SUM(T301:T316)</f>
        <v>520236</v>
      </c>
      <c r="Z317" s="267" t="e">
        <f>S125+S317</f>
        <v>#REF!</v>
      </c>
    </row>
    <row r="318" spans="1:26" ht="15.75" customHeight="1" hidden="1">
      <c r="A318" s="268"/>
      <c r="B318" s="268"/>
      <c r="C318" s="268"/>
      <c r="D318" s="268"/>
      <c r="E318" s="268"/>
      <c r="F318" s="268"/>
      <c r="G318" s="268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Z318" s="4"/>
    </row>
    <row r="319" spans="1:20" ht="15.75" customHeight="1" hidden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6" ht="15.75" customHeight="1" hidden="1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269"/>
      <c r="Z320" s="54" t="e">
        <f>#REF!+#REF!</f>
        <v>#REF!</v>
      </c>
    </row>
    <row r="321" spans="1:20" ht="15.75" customHeight="1" hidden="1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269"/>
      <c r="S321" s="269"/>
      <c r="T321" s="270"/>
    </row>
    <row r="322" spans="1:24" ht="37.5" customHeight="1" hidden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0" ht="14.25" customHeight="1" hidden="1">
      <c r="A323" s="2"/>
      <c r="B323" s="2"/>
      <c r="C323" s="5" t="s">
        <v>120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96" t="s">
        <v>121</v>
      </c>
      <c r="O323" s="96"/>
      <c r="P323" s="96"/>
      <c r="Q323" s="96"/>
      <c r="R323" s="2"/>
      <c r="S323" s="2"/>
      <c r="T323" s="2"/>
    </row>
    <row r="324" spans="1:20" ht="18.75" customHeight="1" hidden="1">
      <c r="A324" s="96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96"/>
      <c r="R324" s="96"/>
      <c r="S324" s="96"/>
      <c r="T324" s="96"/>
    </row>
    <row r="325" spans="1:20" ht="15.75" customHeight="1" hidden="1">
      <c r="A325" s="2"/>
      <c r="B325" s="2"/>
      <c r="C325" s="4"/>
      <c r="D325" s="2"/>
      <c r="E325" s="2"/>
      <c r="F325" s="2"/>
      <c r="G325" s="2"/>
      <c r="H325" s="2"/>
      <c r="I325" s="2"/>
      <c r="J325" s="2"/>
      <c r="K325" s="2"/>
      <c r="L325" s="2"/>
      <c r="M325" s="4"/>
      <c r="N325" s="2"/>
      <c r="O325" s="2"/>
      <c r="P325" s="2"/>
      <c r="Q325" s="2"/>
      <c r="R325" s="2"/>
      <c r="S325" s="2"/>
      <c r="T325" s="2"/>
    </row>
    <row r="326" spans="1:20" ht="15" customHeight="1" hidden="1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</row>
    <row r="327" spans="1:20" ht="15" customHeight="1" hidden="1">
      <c r="A327" s="2"/>
      <c r="B327" s="106" t="s">
        <v>122</v>
      </c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ht="15" customHeight="1" hidden="1">
      <c r="B328" s="107">
        <v>42041</v>
      </c>
    </row>
    <row r="329" spans="1:20" ht="15.75" customHeight="1" hidden="1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</row>
    <row r="330" spans="1:20" ht="15.75" customHeight="1" hidden="1">
      <c r="A330" s="271"/>
      <c r="B330" s="271"/>
      <c r="C330" s="271"/>
      <c r="D330" s="271"/>
      <c r="E330" s="271"/>
      <c r="F330" s="271"/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</row>
    <row r="331" spans="1:20" ht="15.75" customHeight="1" hidden="1">
      <c r="A331" s="271"/>
      <c r="B331" s="271"/>
      <c r="C331" s="271"/>
      <c r="D331" s="271"/>
      <c r="E331" s="271"/>
      <c r="F331" s="271"/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</row>
    <row r="332" spans="1:20" ht="15.75" customHeight="1" hidden="1">
      <c r="A332" s="271"/>
      <c r="B332" s="271"/>
      <c r="C332" s="271"/>
      <c r="D332" s="271"/>
      <c r="E332" s="271"/>
      <c r="F332" s="271"/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</row>
    <row r="333" spans="1:20" ht="15.75" customHeight="1" hidden="1">
      <c r="A333" s="271"/>
      <c r="B333" s="271"/>
      <c r="C333" s="271"/>
      <c r="D333" s="271"/>
      <c r="E333" s="271"/>
      <c r="F333" s="271"/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</row>
    <row r="334" spans="1:20" ht="15.75" customHeight="1" hidden="1">
      <c r="A334" s="271"/>
      <c r="B334" s="271"/>
      <c r="C334" s="271"/>
      <c r="D334" s="271"/>
      <c r="E334" s="271"/>
      <c r="F334" s="271"/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</row>
    <row r="335" spans="1:20" ht="15.75" customHeight="1" hidden="1">
      <c r="A335" s="271"/>
      <c r="B335" s="271"/>
      <c r="C335" s="271"/>
      <c r="D335" s="271"/>
      <c r="E335" s="271"/>
      <c r="F335" s="271"/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</row>
    <row r="336" spans="1:20" ht="15.75" customHeight="1" hidden="1">
      <c r="A336" s="271"/>
      <c r="B336" s="271"/>
      <c r="C336" s="271"/>
      <c r="D336" s="271"/>
      <c r="E336" s="271"/>
      <c r="F336" s="271"/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</row>
    <row r="337" spans="1:20" ht="15.75" customHeight="1" hidden="1">
      <c r="A337" s="271"/>
      <c r="B337" s="271"/>
      <c r="C337" s="271"/>
      <c r="D337" s="271"/>
      <c r="E337" s="271"/>
      <c r="F337" s="271"/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</row>
    <row r="338" spans="1:20" ht="15.75" customHeight="1" hidden="1">
      <c r="A338" s="271"/>
      <c r="B338" s="271"/>
      <c r="C338" s="271"/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</row>
    <row r="339" spans="1:20" ht="15.75" customHeight="1" hidden="1">
      <c r="A339" s="271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</row>
    <row r="340" spans="1:20" ht="15.75" customHeight="1" hidden="1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</row>
    <row r="341" spans="1:20" ht="15.75" customHeight="1" hidden="1">
      <c r="A341" s="196"/>
      <c r="B341" s="243"/>
      <c r="C341" s="272" t="e">
        <f>#REF!+C34+#REF!+#REF!+#REF!+C125+C317</f>
        <v>#REF!</v>
      </c>
      <c r="D341" s="196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6"/>
    </row>
    <row r="342" spans="1:20" ht="15.75" customHeight="1" hidden="1">
      <c r="A342" s="196"/>
      <c r="B342" s="243"/>
      <c r="C342" s="243"/>
      <c r="D342" s="243"/>
      <c r="E342" s="243"/>
      <c r="F342" s="243"/>
      <c r="G342" s="196"/>
      <c r="H342" s="196"/>
      <c r="I342" s="196"/>
      <c r="J342" s="196"/>
      <c r="K342" s="196"/>
      <c r="L342" s="196"/>
      <c r="M342" s="196"/>
      <c r="N342" s="196"/>
      <c r="O342" s="242"/>
      <c r="P342" s="242"/>
      <c r="Q342" s="242"/>
      <c r="R342" s="242"/>
      <c r="S342" s="242"/>
      <c r="T342" s="242"/>
    </row>
    <row r="343" spans="1:20" ht="15.75" customHeight="1" hidden="1">
      <c r="A343" s="196"/>
      <c r="B343" s="196"/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242"/>
      <c r="P343" s="242"/>
      <c r="Q343" s="242"/>
      <c r="R343" s="273"/>
      <c r="S343" s="273"/>
      <c r="T343" s="242"/>
    </row>
    <row r="344" spans="1:20" ht="15.75" customHeight="1" hidden="1">
      <c r="A344" s="196"/>
      <c r="B344" s="196"/>
      <c r="C344" s="196"/>
      <c r="D344" s="247"/>
      <c r="E344" s="247"/>
      <c r="F344" s="247"/>
      <c r="G344" s="250"/>
      <c r="H344" s="250"/>
      <c r="I344" s="250"/>
      <c r="J344" s="250"/>
      <c r="K344" s="196"/>
      <c r="L344" s="196"/>
      <c r="M344" s="196"/>
      <c r="N344" s="196"/>
      <c r="O344" s="242"/>
      <c r="P344" s="242"/>
      <c r="Q344" s="242"/>
      <c r="R344" s="242"/>
      <c r="S344" s="242"/>
      <c r="T344" s="242"/>
    </row>
    <row r="345" spans="1:20" ht="15.75" customHeight="1" hidden="1">
      <c r="A345" s="196"/>
      <c r="B345" s="250"/>
      <c r="C345" s="196"/>
      <c r="D345" s="196"/>
      <c r="E345" s="196"/>
      <c r="F345" s="196"/>
      <c r="G345" s="196"/>
      <c r="H345" s="196"/>
      <c r="I345" s="196"/>
      <c r="J345" s="196"/>
      <c r="K345" s="196"/>
      <c r="L345" s="196"/>
      <c r="M345" s="196"/>
      <c r="N345" s="196"/>
      <c r="O345" s="242"/>
      <c r="P345" s="242"/>
      <c r="Q345" s="242"/>
      <c r="R345" s="242"/>
      <c r="S345" s="242"/>
      <c r="T345" s="242"/>
    </row>
    <row r="346" spans="1:20" ht="16.5" customHeight="1" hidden="1">
      <c r="A346" s="196"/>
      <c r="B346" s="274"/>
      <c r="C346" s="275"/>
      <c r="D346" s="275"/>
      <c r="E346" s="276"/>
      <c r="F346" s="276"/>
      <c r="G346" s="276"/>
      <c r="H346" s="276"/>
      <c r="I346" s="276"/>
      <c r="J346" s="276"/>
      <c r="K346" s="276"/>
      <c r="L346" s="277"/>
      <c r="M346" s="277"/>
      <c r="N346" s="278"/>
      <c r="O346" s="278"/>
      <c r="P346" s="279"/>
      <c r="Q346" s="279"/>
      <c r="R346" s="196"/>
      <c r="S346" s="196"/>
      <c r="T346" s="196"/>
    </row>
    <row r="347" spans="1:20" ht="16.5" customHeight="1" hidden="1">
      <c r="A347" s="248"/>
      <c r="B347" s="274"/>
      <c r="C347" s="275"/>
      <c r="D347" s="275"/>
      <c r="E347" s="280"/>
      <c r="F347" s="280"/>
      <c r="G347" s="281"/>
      <c r="H347" s="281"/>
      <c r="I347" s="281"/>
      <c r="J347" s="281"/>
      <c r="K347" s="281"/>
      <c r="L347" s="277"/>
      <c r="M347" s="277"/>
      <c r="N347" s="282"/>
      <c r="O347" s="282"/>
      <c r="P347" s="279"/>
      <c r="Q347" s="279"/>
      <c r="R347" s="196"/>
      <c r="S347" s="196"/>
      <c r="T347" s="196"/>
    </row>
    <row r="348" spans="1:20" ht="15.75" customHeight="1" hidden="1">
      <c r="A348" s="248"/>
      <c r="B348" s="196"/>
      <c r="C348" s="283" t="s">
        <v>123</v>
      </c>
      <c r="D348" s="283"/>
      <c r="E348" s="283"/>
      <c r="F348" s="283"/>
      <c r="G348" s="283"/>
      <c r="H348" s="283"/>
      <c r="I348" s="283"/>
      <c r="J348" s="283"/>
      <c r="K348" s="283"/>
      <c r="L348" s="283"/>
      <c r="M348" s="283"/>
      <c r="N348" s="283"/>
      <c r="O348" s="283"/>
      <c r="P348" s="245"/>
      <c r="Q348" s="245"/>
      <c r="R348" s="196"/>
      <c r="S348" s="196"/>
      <c r="T348" s="196"/>
    </row>
    <row r="349" spans="1:20" ht="15.75" customHeight="1" hidden="1">
      <c r="A349" s="248"/>
      <c r="B349" s="196"/>
      <c r="C349" s="283"/>
      <c r="D349" s="283"/>
      <c r="E349" s="283"/>
      <c r="F349" s="283"/>
      <c r="G349" s="283"/>
      <c r="H349" s="283"/>
      <c r="I349" s="283"/>
      <c r="J349" s="283"/>
      <c r="K349" s="283"/>
      <c r="L349" s="283"/>
      <c r="M349" s="283"/>
      <c r="N349" s="283"/>
      <c r="O349" s="283"/>
      <c r="P349" s="245"/>
      <c r="Q349" s="245"/>
      <c r="R349" s="246"/>
      <c r="S349" s="246"/>
      <c r="T349" s="250"/>
    </row>
    <row r="350" spans="1:20" ht="15.75" customHeight="1" hidden="1">
      <c r="A350" s="236"/>
      <c r="B350" s="196"/>
      <c r="C350" s="283"/>
      <c r="D350" s="283"/>
      <c r="E350" s="283"/>
      <c r="F350" s="283"/>
      <c r="G350" s="283"/>
      <c r="H350" s="283"/>
      <c r="I350" s="283"/>
      <c r="J350" s="283"/>
      <c r="K350" s="283"/>
      <c r="L350" s="283"/>
      <c r="M350" s="283"/>
      <c r="N350" s="283"/>
      <c r="O350" s="283"/>
      <c r="P350" s="245"/>
      <c r="Q350" s="245"/>
      <c r="R350" s="246"/>
      <c r="S350" s="246"/>
      <c r="T350" s="196"/>
    </row>
    <row r="351" spans="1:20" ht="15.75" customHeight="1" hidden="1">
      <c r="A351" s="236"/>
      <c r="B351" s="250"/>
      <c r="C351" s="283"/>
      <c r="D351" s="283"/>
      <c r="E351" s="283"/>
      <c r="F351" s="283"/>
      <c r="G351" s="283"/>
      <c r="H351" s="283"/>
      <c r="I351" s="283"/>
      <c r="J351" s="283"/>
      <c r="K351" s="283"/>
      <c r="L351" s="283"/>
      <c r="M351" s="283"/>
      <c r="N351" s="283"/>
      <c r="O351" s="283"/>
      <c r="P351" s="245"/>
      <c r="Q351" s="245"/>
      <c r="R351" s="246"/>
      <c r="S351" s="246"/>
      <c r="T351" s="196"/>
    </row>
    <row r="352" spans="1:20" ht="15.75" customHeight="1" hidden="1">
      <c r="A352" s="196"/>
      <c r="B352" s="196"/>
      <c r="C352" s="236" t="s">
        <v>124</v>
      </c>
      <c r="D352" s="236"/>
      <c r="E352" s="236"/>
      <c r="F352" s="236"/>
      <c r="G352" s="249" t="s">
        <v>125</v>
      </c>
      <c r="H352" s="249"/>
      <c r="I352" s="249"/>
      <c r="J352" s="249"/>
      <c r="K352" s="196" t="s">
        <v>126</v>
      </c>
      <c r="L352" s="236" t="s">
        <v>127</v>
      </c>
      <c r="M352" s="236"/>
      <c r="N352" s="236" t="s">
        <v>54</v>
      </c>
      <c r="O352" s="236"/>
      <c r="P352" s="196" t="s">
        <v>54</v>
      </c>
      <c r="Q352" s="196"/>
      <c r="R352" s="246" t="s">
        <v>128</v>
      </c>
      <c r="S352" s="246"/>
      <c r="T352" s="250"/>
    </row>
    <row r="353" spans="1:21" ht="21.75" customHeight="1" hidden="1">
      <c r="A353" s="196"/>
      <c r="B353" s="284"/>
      <c r="C353" s="285"/>
      <c r="D353" s="285"/>
      <c r="E353" s="286"/>
      <c r="F353" s="286"/>
      <c r="G353" s="287"/>
      <c r="H353" s="287"/>
      <c r="I353" s="287"/>
      <c r="J353" s="287"/>
      <c r="K353" s="288"/>
      <c r="L353" s="285"/>
      <c r="M353" s="285"/>
      <c r="N353" s="285"/>
      <c r="O353" s="285"/>
      <c r="P353" s="289"/>
      <c r="Q353" s="289"/>
      <c r="R353" s="290" t="e">
        <f>#REF!</f>
        <v>#REF!</v>
      </c>
      <c r="S353" s="250"/>
      <c r="T353" s="250"/>
      <c r="U353" s="1">
        <v>5845.1</v>
      </c>
    </row>
    <row r="354" spans="1:20" ht="21.75" customHeight="1" hidden="1">
      <c r="A354" s="196"/>
      <c r="B354" s="291" t="s">
        <v>129</v>
      </c>
      <c r="C354" s="292" t="e">
        <f>#REF!</f>
        <v>#REF!</v>
      </c>
      <c r="D354" s="292"/>
      <c r="E354" s="232"/>
      <c r="F354" s="232"/>
      <c r="G354" s="293" t="e">
        <f>#REF!+#REF!+#REF!+#REF!+#REF!</f>
        <v>#REF!</v>
      </c>
      <c r="H354" s="293"/>
      <c r="I354" s="293"/>
      <c r="J354" s="293"/>
      <c r="K354" s="234" t="e">
        <f>#REF!+#REF!+#REF!</f>
        <v>#REF!</v>
      </c>
      <c r="L354" s="292" t="e">
        <f>#REF!+#REF!+#REF!+#REF!+#REF!+#REF!+#REF!+#REF!+#REF!</f>
        <v>#REF!</v>
      </c>
      <c r="M354" s="292"/>
      <c r="N354" s="292" t="e">
        <f aca="true" t="shared" si="35" ref="N354:N358">G354+K354+L354</f>
        <v>#REF!</v>
      </c>
      <c r="O354" s="292"/>
      <c r="P354" s="294" t="e">
        <f aca="true" t="shared" si="36" ref="P354:P357">N354+C354+R354</f>
        <v>#REF!</v>
      </c>
      <c r="Q354" s="294"/>
      <c r="R354" s="250"/>
      <c r="S354" s="250"/>
      <c r="T354" s="250"/>
    </row>
    <row r="355" spans="1:20" ht="21.75" customHeight="1" hidden="1">
      <c r="A355" s="196"/>
      <c r="B355" s="291" t="s">
        <v>130</v>
      </c>
      <c r="C355" s="292"/>
      <c r="D355" s="292"/>
      <c r="E355" s="232"/>
      <c r="F355" s="232"/>
      <c r="G355" s="293" t="e">
        <f>R17+R18+R27+R30+R31+#REF!</f>
        <v>#REF!</v>
      </c>
      <c r="H355" s="293"/>
      <c r="I355" s="293"/>
      <c r="J355" s="293"/>
      <c r="K355" s="234">
        <f>R28+R29+R32</f>
        <v>0</v>
      </c>
      <c r="L355" s="232"/>
      <c r="M355" s="232"/>
      <c r="N355" s="292" t="e">
        <f t="shared" si="35"/>
        <v>#REF!</v>
      </c>
      <c r="O355" s="292"/>
      <c r="P355" s="294" t="e">
        <f t="shared" si="36"/>
        <v>#REF!</v>
      </c>
      <c r="Q355" s="294"/>
      <c r="R355" s="250"/>
      <c r="S355" s="250"/>
      <c r="T355" s="250"/>
    </row>
    <row r="356" spans="1:20" ht="21.75" customHeight="1" hidden="1">
      <c r="A356" s="196"/>
      <c r="B356" s="291" t="s">
        <v>131</v>
      </c>
      <c r="C356" s="232"/>
      <c r="D356" s="232"/>
      <c r="E356" s="232"/>
      <c r="F356" s="232"/>
      <c r="G356" s="293"/>
      <c r="H356" s="293"/>
      <c r="I356" s="293"/>
      <c r="J356" s="293"/>
      <c r="K356" s="234" t="e">
        <f>#REF!+#REF!+#REF!+#REF!+#REF!+#REF!+#REF!+#REF!</f>
        <v>#REF!</v>
      </c>
      <c r="L356" s="292" t="e">
        <f>#REF!+#REF!+#REF!</f>
        <v>#REF!</v>
      </c>
      <c r="M356" s="292"/>
      <c r="N356" s="292" t="e">
        <f t="shared" si="35"/>
        <v>#REF!</v>
      </c>
      <c r="O356" s="292"/>
      <c r="P356" s="294" t="e">
        <f t="shared" si="36"/>
        <v>#REF!</v>
      </c>
      <c r="Q356" s="294"/>
      <c r="R356" s="250"/>
      <c r="S356" s="250"/>
      <c r="T356" s="250"/>
    </row>
    <row r="357" spans="1:20" ht="21.75" customHeight="1" hidden="1">
      <c r="A357" s="196"/>
      <c r="B357" s="291" t="s">
        <v>132</v>
      </c>
      <c r="C357" s="232"/>
      <c r="D357" s="232"/>
      <c r="E357" s="232"/>
      <c r="F357" s="232"/>
      <c r="G357" s="293"/>
      <c r="H357" s="293"/>
      <c r="I357" s="293"/>
      <c r="J357" s="293"/>
      <c r="K357" s="234">
        <f>R100+R101+R102+R104+R105+R106+R108+R111+R119+R122+R301+R304+R305+R307+R309+R310+R103+R303</f>
        <v>76677</v>
      </c>
      <c r="L357" s="292">
        <f>R109+R110+R112+R115+R116+R117+R118+R121+R306+R311+R312+R308</f>
        <v>19346.559999999998</v>
      </c>
      <c r="M357" s="292"/>
      <c r="N357" s="292">
        <f t="shared" si="35"/>
        <v>96023.56</v>
      </c>
      <c r="O357" s="292"/>
      <c r="P357" s="294">
        <f t="shared" si="36"/>
        <v>96023.56</v>
      </c>
      <c r="Q357" s="294"/>
      <c r="R357" s="250"/>
      <c r="S357" s="250"/>
      <c r="T357" s="250"/>
    </row>
    <row r="358" spans="1:20" ht="21.75" customHeight="1" hidden="1">
      <c r="A358" s="196"/>
      <c r="B358" s="291" t="s">
        <v>133</v>
      </c>
      <c r="C358" s="292"/>
      <c r="D358" s="292"/>
      <c r="E358" s="232"/>
      <c r="F358" s="232"/>
      <c r="G358" s="293"/>
      <c r="H358" s="293"/>
      <c r="I358" s="293"/>
      <c r="J358" s="293"/>
      <c r="K358" s="227"/>
      <c r="L358" s="292"/>
      <c r="M358" s="292"/>
      <c r="N358" s="292">
        <f t="shared" si="35"/>
        <v>0</v>
      </c>
      <c r="O358" s="292"/>
      <c r="P358" s="295"/>
      <c r="Q358" s="295"/>
      <c r="R358" s="250"/>
      <c r="S358" s="250"/>
      <c r="T358" s="250"/>
    </row>
    <row r="359" spans="1:20" ht="16.5" customHeight="1" hidden="1">
      <c r="A359" s="196"/>
      <c r="B359" s="296"/>
      <c r="C359" s="297"/>
      <c r="D359" s="297"/>
      <c r="E359" s="297"/>
      <c r="F359" s="297"/>
      <c r="G359" s="298"/>
      <c r="H359" s="298"/>
      <c r="I359" s="298"/>
      <c r="J359" s="298"/>
      <c r="K359" s="199"/>
      <c r="L359" s="299"/>
      <c r="M359" s="299"/>
      <c r="N359" s="299"/>
      <c r="O359" s="299"/>
      <c r="P359" s="300"/>
      <c r="Q359" s="300"/>
      <c r="R359" s="250" t="s">
        <v>134</v>
      </c>
      <c r="S359" s="250"/>
      <c r="T359" s="250" t="s">
        <v>135</v>
      </c>
    </row>
    <row r="360" spans="1:20" ht="16.5" customHeight="1" hidden="1">
      <c r="A360" s="196"/>
      <c r="B360" s="301" t="s">
        <v>54</v>
      </c>
      <c r="C360" s="302" t="e">
        <f>SUM(C353:D358)</f>
        <v>#REF!</v>
      </c>
      <c r="D360" s="302"/>
      <c r="E360" s="303"/>
      <c r="F360" s="303"/>
      <c r="G360" s="304" t="e">
        <f>SUM(G353:G359)</f>
        <v>#REF!</v>
      </c>
      <c r="H360" s="304"/>
      <c r="I360" s="304"/>
      <c r="J360" s="304"/>
      <c r="K360" s="304" t="e">
        <f>SUM(K353:K359)</f>
        <v>#REF!</v>
      </c>
      <c r="L360" s="302" t="e">
        <f>SUM(L353:M359)</f>
        <v>#REF!</v>
      </c>
      <c r="M360" s="302"/>
      <c r="N360" s="302" t="e">
        <f>SUM(N353:O359)+N346+N347</f>
        <v>#REF!</v>
      </c>
      <c r="O360" s="302"/>
      <c r="P360" s="305" t="e">
        <f>P353+P354+P355+P356+P357+P358+P347+P346</f>
        <v>#REF!</v>
      </c>
      <c r="Q360" s="305"/>
      <c r="R360" s="306" t="e">
        <f>#REF!+R34+#REF!+#REF!+R125+R317</f>
        <v>#REF!</v>
      </c>
      <c r="S360" s="306"/>
      <c r="T360" s="250" t="s">
        <v>136</v>
      </c>
    </row>
    <row r="361" spans="1:22" ht="15.75" customHeight="1" hidden="1">
      <c r="A361" s="196"/>
      <c r="B361" s="307" t="s">
        <v>137</v>
      </c>
      <c r="C361" s="219"/>
      <c r="D361" s="219"/>
      <c r="E361" s="219"/>
      <c r="F361" s="219"/>
      <c r="G361" s="221"/>
      <c r="H361" s="221"/>
      <c r="I361" s="221"/>
      <c r="J361" s="221"/>
      <c r="K361" s="218"/>
      <c r="L361" s="219"/>
      <c r="M361" s="219"/>
      <c r="N361" s="308"/>
      <c r="O361" s="308"/>
      <c r="P361" s="309">
        <f aca="true" t="shared" si="37" ref="P361:P362">N361+C361</f>
        <v>0</v>
      </c>
      <c r="Q361" s="309"/>
      <c r="R361" s="250"/>
      <c r="S361" s="250"/>
      <c r="T361" s="250"/>
      <c r="U361" s="54" t="e">
        <f>#REF!+#REF!+#REF!+#REF!+#REF!</f>
        <v>#REF!</v>
      </c>
      <c r="V361" s="54" t="e">
        <f>SUM(T361:U361)</f>
        <v>#REF!</v>
      </c>
    </row>
    <row r="362" spans="1:20" ht="16.5" customHeight="1" hidden="1">
      <c r="A362" s="196"/>
      <c r="B362" s="310" t="s">
        <v>138</v>
      </c>
      <c r="C362" s="311">
        <f>'[2]ШКОЛИ та ін.'!$AT$171</f>
        <v>0</v>
      </c>
      <c r="D362" s="311"/>
      <c r="E362" s="312"/>
      <c r="F362" s="312"/>
      <c r="G362" s="313" t="e">
        <f>#REF!+#REF!</f>
        <v>#REF!</v>
      </c>
      <c r="H362" s="313"/>
      <c r="I362" s="313"/>
      <c r="J362" s="313"/>
      <c r="K362" s="313" t="e">
        <f>#REF!+#REF!+#REF!</f>
        <v>#REF!</v>
      </c>
      <c r="L362" s="311" t="e">
        <f>#REF!+#REF!+#REF!</f>
        <v>#REF!</v>
      </c>
      <c r="M362" s="311"/>
      <c r="N362" s="311" t="e">
        <f>G362+K362+L362</f>
        <v>#REF!</v>
      </c>
      <c r="O362" s="311"/>
      <c r="P362" s="314" t="e">
        <f t="shared" si="37"/>
        <v>#REF!</v>
      </c>
      <c r="Q362" s="314"/>
      <c r="R362" s="250"/>
      <c r="S362" s="250"/>
      <c r="T362" s="250"/>
    </row>
    <row r="363" spans="1:20" ht="15.75" customHeight="1" hidden="1">
      <c r="A363" s="196"/>
      <c r="B363" s="16" t="s">
        <v>54</v>
      </c>
      <c r="C363" s="315" t="e">
        <f>C360+C362</f>
        <v>#REF!</v>
      </c>
      <c r="D363" s="315"/>
      <c r="E363" s="316"/>
      <c r="F363" s="316"/>
      <c r="G363" s="306" t="e">
        <f>G360+G362</f>
        <v>#REF!</v>
      </c>
      <c r="H363" s="306"/>
      <c r="I363" s="306"/>
      <c r="J363" s="306"/>
      <c r="K363" s="306" t="e">
        <f>K360+K362</f>
        <v>#REF!</v>
      </c>
      <c r="L363" s="315" t="e">
        <f>L360+L362</f>
        <v>#REF!</v>
      </c>
      <c r="M363" s="315"/>
      <c r="N363" s="317" t="e">
        <f>N360+N362</f>
        <v>#REF!</v>
      </c>
      <c r="O363" s="317"/>
      <c r="P363" s="318" t="e">
        <f>P360+P361+P362</f>
        <v>#REF!</v>
      </c>
      <c r="Q363" s="318"/>
      <c r="R363" s="250"/>
      <c r="S363" s="250"/>
      <c r="T363" s="250"/>
    </row>
    <row r="364" spans="1:20" ht="15.75" customHeight="1" hidden="1">
      <c r="A364" s="196"/>
      <c r="B364" s="196"/>
      <c r="C364" s="196"/>
      <c r="D364" s="247"/>
      <c r="E364" s="247"/>
      <c r="F364" s="247"/>
      <c r="G364" s="196"/>
      <c r="H364" s="196"/>
      <c r="I364" s="196"/>
      <c r="J364" s="196"/>
      <c r="K364" s="196"/>
      <c r="L364" s="196"/>
      <c r="M364" s="196"/>
      <c r="N364" s="247"/>
      <c r="O364" s="196"/>
      <c r="P364" s="196"/>
      <c r="Q364" s="196"/>
      <c r="R364" s="250"/>
      <c r="S364" s="250"/>
      <c r="T364" s="250"/>
    </row>
    <row r="365" spans="1:20" ht="15.75" customHeight="1" hidden="1">
      <c r="A365" s="196"/>
      <c r="B365" s="196"/>
      <c r="C365" s="196"/>
      <c r="D365" s="247"/>
      <c r="E365" s="247"/>
      <c r="F365" s="247"/>
      <c r="G365" s="196"/>
      <c r="H365" s="196"/>
      <c r="I365" s="196"/>
      <c r="J365" s="196"/>
      <c r="K365" s="196"/>
      <c r="L365" s="196"/>
      <c r="M365" s="196"/>
      <c r="N365" s="247"/>
      <c r="O365" s="250"/>
      <c r="P365" s="196"/>
      <c r="Q365" s="196"/>
      <c r="R365" s="250"/>
      <c r="S365" s="250"/>
      <c r="T365" s="250"/>
    </row>
    <row r="366" spans="1:20" ht="15.75" customHeight="1" hidden="1">
      <c r="A366" s="196"/>
      <c r="B366" s="196"/>
      <c r="C366" s="196"/>
      <c r="D366" s="247"/>
      <c r="E366" s="247"/>
      <c r="F366" s="247"/>
      <c r="G366" s="196"/>
      <c r="H366" s="196"/>
      <c r="I366" s="196"/>
      <c r="J366" s="196"/>
      <c r="K366" s="196"/>
      <c r="L366" s="196"/>
      <c r="M366" s="196"/>
      <c r="N366" s="196"/>
      <c r="O366" s="196"/>
      <c r="P366" s="247"/>
      <c r="Q366" s="196"/>
      <c r="R366" s="250"/>
      <c r="S366" s="250"/>
      <c r="T366" s="250"/>
    </row>
    <row r="367" spans="1:20" ht="15.75" customHeight="1" hidden="1">
      <c r="A367" s="196"/>
      <c r="B367" s="196"/>
      <c r="C367" s="250"/>
      <c r="D367" s="250"/>
      <c r="E367" s="250"/>
      <c r="F367" s="250"/>
      <c r="G367" s="250"/>
      <c r="H367" s="250"/>
      <c r="I367" s="250"/>
      <c r="J367" s="250"/>
      <c r="K367" s="196"/>
      <c r="L367" s="196"/>
      <c r="M367" s="196"/>
      <c r="N367" s="196"/>
      <c r="O367" s="196"/>
      <c r="P367" s="196"/>
      <c r="Q367" s="196"/>
      <c r="R367" s="250"/>
      <c r="S367" s="250"/>
      <c r="T367" s="250"/>
    </row>
    <row r="368" spans="1:20" ht="15.75" customHeight="1" hidden="1">
      <c r="A368" s="196"/>
      <c r="B368" s="196"/>
      <c r="C368" s="196"/>
      <c r="D368" s="196"/>
      <c r="E368" s="196"/>
      <c r="F368" s="196"/>
      <c r="G368" s="196"/>
      <c r="H368" s="196"/>
      <c r="I368" s="196"/>
      <c r="J368" s="196"/>
      <c r="K368" s="196"/>
      <c r="L368" s="196"/>
      <c r="M368" s="196"/>
      <c r="N368" s="196"/>
      <c r="O368" s="196"/>
      <c r="P368" s="196"/>
      <c r="Q368" s="196"/>
      <c r="R368" s="196"/>
      <c r="S368" s="196"/>
      <c r="T368" s="196"/>
    </row>
    <row r="369" spans="1:20" ht="15.75" customHeight="1" hidden="1">
      <c r="A369" s="196"/>
      <c r="B369" s="196"/>
      <c r="C369" s="196"/>
      <c r="D369" s="196"/>
      <c r="E369" s="196"/>
      <c r="F369" s="196"/>
      <c r="G369" s="196"/>
      <c r="H369" s="196"/>
      <c r="I369" s="196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196"/>
    </row>
    <row r="370" spans="1:20" ht="12.75" customHeight="1" hidden="1">
      <c r="A370" s="236"/>
      <c r="B370" s="236"/>
      <c r="C370" s="236"/>
      <c r="D370" s="236"/>
      <c r="E370" s="236"/>
      <c r="F370" s="236"/>
      <c r="G370" s="236"/>
      <c r="H370" s="236"/>
      <c r="I370" s="236"/>
      <c r="J370" s="236"/>
      <c r="K370" s="236"/>
      <c r="L370" s="236"/>
      <c r="M370" s="236"/>
      <c r="N370" s="236"/>
      <c r="O370" s="236"/>
      <c r="P370" s="236"/>
      <c r="Q370" s="236"/>
      <c r="R370" s="236"/>
      <c r="S370" s="236"/>
      <c r="T370" s="236"/>
    </row>
    <row r="371" spans="1:20" ht="12.75" customHeight="1" hidden="1">
      <c r="A371" s="196"/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0" ht="15.75" customHeight="1" hidden="1">
      <c r="A372" s="189"/>
      <c r="B372" s="189"/>
      <c r="C372" s="189"/>
      <c r="D372" s="269" t="e">
        <f>C317+C125+#REF!+#REF!+C34+#REF!+#REF!</f>
        <v>#REF!</v>
      </c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</row>
    <row r="373" spans="1:20" ht="15.75" customHeight="1" hidden="1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</row>
    <row r="374" spans="1:20" ht="15.75" customHeight="1" hidden="1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</row>
    <row r="375" spans="1:20" ht="15.75" customHeight="1" hidden="1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 t="s">
        <v>139</v>
      </c>
      <c r="O375" s="189" t="s">
        <v>140</v>
      </c>
      <c r="P375" s="189"/>
      <c r="Q375" s="189"/>
      <c r="R375" s="189"/>
      <c r="S375" s="189"/>
      <c r="T375" s="189"/>
    </row>
    <row r="376" spans="1:20" ht="15.75" customHeight="1" hidden="1">
      <c r="A376" s="189"/>
      <c r="B376" s="189"/>
      <c r="C376" s="189"/>
      <c r="D376" s="227">
        <v>1</v>
      </c>
      <c r="E376" s="227" t="e">
        <f>C306+C118+#REF!+#REF!</f>
        <v>#REF!</v>
      </c>
      <c r="F376" s="196"/>
      <c r="G376" s="189"/>
      <c r="H376" s="189"/>
      <c r="I376" s="189"/>
      <c r="J376" s="189"/>
      <c r="K376" s="189"/>
      <c r="L376" s="189"/>
      <c r="M376" s="319">
        <v>70000</v>
      </c>
      <c r="N376" s="227">
        <v>1</v>
      </c>
      <c r="O376" s="234" t="e">
        <f>E376+'[1]ДНЗ з 01.09.13'!F732+'[1]школи з 01.09.13'!F739</f>
        <v>#REF!</v>
      </c>
      <c r="P376" s="189"/>
      <c r="Q376" s="189"/>
      <c r="R376" s="189"/>
      <c r="S376" s="189"/>
      <c r="T376" s="189"/>
    </row>
    <row r="377" spans="1:20" ht="15.75" customHeight="1" hidden="1">
      <c r="A377" s="189"/>
      <c r="B377" s="189"/>
      <c r="C377" s="189"/>
      <c r="D377" s="227">
        <v>2</v>
      </c>
      <c r="E377" s="227" t="e">
        <f>C311+C110+#REF!+#REF!+#REF!+#REF!+#REF!+#REF!+#REF!+#REF!+C112</f>
        <v>#REF!</v>
      </c>
      <c r="F377" s="196"/>
      <c r="G377" s="189"/>
      <c r="H377" s="189"/>
      <c r="I377" s="189"/>
      <c r="J377" s="189"/>
      <c r="K377" s="189"/>
      <c r="L377" s="189"/>
      <c r="M377" s="319"/>
      <c r="N377" s="227">
        <v>2</v>
      </c>
      <c r="O377" s="234" t="e">
        <f>E377+'[1]ДНЗ з 01.09.13'!F733+'[1]школи з 01.09.13'!F740</f>
        <v>#REF!</v>
      </c>
      <c r="P377" s="189"/>
      <c r="Q377" s="189"/>
      <c r="R377" s="189"/>
      <c r="S377" s="189"/>
      <c r="T377" s="189"/>
    </row>
    <row r="378" spans="1:20" ht="15.75" customHeight="1" hidden="1">
      <c r="A378" s="189"/>
      <c r="B378" s="189"/>
      <c r="C378" s="189"/>
      <c r="D378" s="227">
        <v>3</v>
      </c>
      <c r="E378" s="227"/>
      <c r="F378" s="196"/>
      <c r="G378" s="189"/>
      <c r="H378" s="189"/>
      <c r="I378" s="189"/>
      <c r="J378" s="189"/>
      <c r="K378" s="189"/>
      <c r="L378" s="189"/>
      <c r="M378" s="319"/>
      <c r="N378" s="227">
        <v>3</v>
      </c>
      <c r="O378" s="234">
        <f>E378+'[1]ДНЗ з 01.09.13'!F734+'[1]школи з 01.09.13'!F741</f>
        <v>3</v>
      </c>
      <c r="P378" s="189"/>
      <c r="Q378" s="189"/>
      <c r="R378" s="189"/>
      <c r="S378" s="189"/>
      <c r="T378" s="189"/>
    </row>
    <row r="379" spans="1:20" ht="15.75" customHeight="1" hidden="1">
      <c r="A379" s="189"/>
      <c r="B379" s="189"/>
      <c r="C379" s="189"/>
      <c r="D379" s="227">
        <v>4</v>
      </c>
      <c r="E379" s="227">
        <f>C309+C29+C109</f>
        <v>5.5</v>
      </c>
      <c r="F379" s="196"/>
      <c r="G379" s="189"/>
      <c r="H379" s="189"/>
      <c r="I379" s="189"/>
      <c r="J379" s="189"/>
      <c r="K379" s="189"/>
      <c r="L379" s="189"/>
      <c r="M379" s="319"/>
      <c r="N379" s="227">
        <v>4</v>
      </c>
      <c r="O379" s="234">
        <f>E379+'[1]ДНЗ з 01.09.13'!F735+'[1]школи з 01.09.13'!F742</f>
        <v>28.25</v>
      </c>
      <c r="P379" s="189"/>
      <c r="Q379" s="189"/>
      <c r="R379" s="189"/>
      <c r="S379" s="189"/>
      <c r="T379" s="189"/>
    </row>
    <row r="380" spans="1:20" ht="15.75" customHeight="1" hidden="1">
      <c r="A380" s="189"/>
      <c r="B380" s="189"/>
      <c r="C380" s="189"/>
      <c r="D380" s="227">
        <v>5</v>
      </c>
      <c r="E380" s="227" t="e">
        <f>C308+C122+C116+C108+C28+#REF!</f>
        <v>#REF!</v>
      </c>
      <c r="F380" s="196"/>
      <c r="G380" s="189"/>
      <c r="H380" s="189"/>
      <c r="I380" s="189"/>
      <c r="J380" s="189"/>
      <c r="K380" s="189"/>
      <c r="L380" s="189"/>
      <c r="M380" s="319"/>
      <c r="N380" s="227">
        <v>5</v>
      </c>
      <c r="O380" s="234" t="e">
        <f>E380+'[1]ДНЗ з 01.09.13'!F736+'[1]школи з 01.09.13'!F743</f>
        <v>#REF!</v>
      </c>
      <c r="P380" s="189"/>
      <c r="Q380" s="189"/>
      <c r="R380" s="189"/>
      <c r="S380" s="189"/>
      <c r="T380" s="189"/>
    </row>
    <row r="381" spans="1:20" ht="15.75" customHeight="1" hidden="1">
      <c r="A381" s="189"/>
      <c r="B381" s="189"/>
      <c r="C381" s="189"/>
      <c r="D381" s="227">
        <v>6</v>
      </c>
      <c r="E381" s="227" t="e">
        <f>C310+C121+C117+#REF!+#REF!+#REF!+#REF!</f>
        <v>#REF!</v>
      </c>
      <c r="F381" s="196"/>
      <c r="G381" s="189"/>
      <c r="H381" s="189"/>
      <c r="I381" s="189"/>
      <c r="J381" s="189"/>
      <c r="K381" s="189"/>
      <c r="L381" s="189"/>
      <c r="M381" s="319"/>
      <c r="N381" s="227">
        <v>6</v>
      </c>
      <c r="O381" s="234" t="e">
        <f>E381+'[1]ДНЗ з 01.09.13'!F737+'[1]школи з 01.09.13'!F744</f>
        <v>#REF!</v>
      </c>
      <c r="P381" s="189"/>
      <c r="Q381" s="189"/>
      <c r="R381" s="189"/>
      <c r="S381" s="189"/>
      <c r="T381" s="189"/>
    </row>
    <row r="382" spans="1:20" ht="15.75" customHeight="1" hidden="1">
      <c r="A382" s="189"/>
      <c r="B382" s="189"/>
      <c r="C382" s="189"/>
      <c r="D382" s="199">
        <v>7</v>
      </c>
      <c r="E382" s="199" t="e">
        <f>C307+C119+#REF!+C106+C104+C102</f>
        <v>#REF!</v>
      </c>
      <c r="F382" s="196"/>
      <c r="G382" s="189"/>
      <c r="H382" s="189"/>
      <c r="I382" s="189"/>
      <c r="J382" s="189"/>
      <c r="K382" s="189"/>
      <c r="L382" s="189"/>
      <c r="M382" s="319"/>
      <c r="N382" s="199">
        <v>7</v>
      </c>
      <c r="O382" s="234" t="e">
        <f>E382+'[1]ДНЗ з 01.09.13'!F738+'[1]школи з 01.09.13'!F745</f>
        <v>#REF!</v>
      </c>
      <c r="P382" s="189"/>
      <c r="Q382" s="189"/>
      <c r="R382" s="189"/>
      <c r="S382" s="189"/>
      <c r="T382" s="189"/>
    </row>
    <row r="383" spans="1:20" ht="15.75" customHeight="1" hidden="1">
      <c r="A383" s="189"/>
      <c r="B383" s="189"/>
      <c r="C383" s="189"/>
      <c r="D383" s="320">
        <v>8</v>
      </c>
      <c r="E383" s="321" t="e">
        <f>C305+C304+C115+C111+C101+#REF!+#REF!+#REF!</f>
        <v>#REF!</v>
      </c>
      <c r="F383" s="322"/>
      <c r="G383" s="323"/>
      <c r="H383" s="196"/>
      <c r="I383" s="196"/>
      <c r="J383" s="189"/>
      <c r="K383" s="189"/>
      <c r="L383" s="189"/>
      <c r="M383" s="319"/>
      <c r="N383" s="320">
        <v>8</v>
      </c>
      <c r="O383" s="234" t="e">
        <f>E383+'[1]ДНЗ з 01.09.13'!F739+'[1]школи з 01.09.13'!F746</f>
        <v>#REF!</v>
      </c>
      <c r="P383" s="323"/>
      <c r="Q383" s="189"/>
      <c r="R383" s="189"/>
      <c r="S383" s="189"/>
      <c r="T383" s="189"/>
    </row>
    <row r="384" spans="1:20" ht="15.75" customHeight="1" hidden="1">
      <c r="A384" s="189"/>
      <c r="B384" s="189"/>
      <c r="C384" s="189"/>
      <c r="D384" s="291">
        <v>9</v>
      </c>
      <c r="E384" s="227" t="e">
        <f>C303+C105+#REF!</f>
        <v>#REF!</v>
      </c>
      <c r="F384" s="196"/>
      <c r="G384" s="324">
        <v>20.28</v>
      </c>
      <c r="H384" s="196"/>
      <c r="I384" s="196"/>
      <c r="J384" s="189"/>
      <c r="K384" s="189"/>
      <c r="L384" s="189"/>
      <c r="M384" s="319"/>
      <c r="N384" s="291">
        <v>9</v>
      </c>
      <c r="O384" s="234" t="e">
        <f>E384+'[1]ДНЗ з 01.09.13'!F740+'[1]школи з 01.09.13'!F747</f>
        <v>#REF!</v>
      </c>
      <c r="P384" s="324"/>
      <c r="Q384" s="189"/>
      <c r="R384" s="189"/>
      <c r="S384" s="189"/>
      <c r="T384" s="189"/>
    </row>
    <row r="385" spans="1:20" ht="16.5" customHeight="1" hidden="1">
      <c r="A385" s="189"/>
      <c r="B385" s="189"/>
      <c r="C385" s="189"/>
      <c r="D385" s="310">
        <v>10</v>
      </c>
      <c r="E385" s="325" t="e">
        <f>C301+C103+C100+#REF!+#REF!+#REF!+#REF!+#REF!</f>
        <v>#REF!</v>
      </c>
      <c r="F385" s="326"/>
      <c r="G385" s="327"/>
      <c r="H385" s="196"/>
      <c r="I385" s="196"/>
      <c r="J385" s="189"/>
      <c r="K385" s="189"/>
      <c r="L385" s="189"/>
      <c r="M385" s="319"/>
      <c r="N385" s="291">
        <v>10</v>
      </c>
      <c r="O385" s="234" t="e">
        <f>E385+'[1]ДНЗ з 01.09.13'!F741+'[1]школи з 01.09.13'!F748</f>
        <v>#REF!</v>
      </c>
      <c r="P385" s="324">
        <v>485.09</v>
      </c>
      <c r="Q385" s="189"/>
      <c r="R385" s="328"/>
      <c r="S385" s="328"/>
      <c r="T385" s="189"/>
    </row>
    <row r="386" spans="1:20" ht="15.75" customHeight="1" hidden="1">
      <c r="A386" s="189"/>
      <c r="B386" s="189"/>
      <c r="C386" s="189"/>
      <c r="D386" s="218">
        <v>11</v>
      </c>
      <c r="E386" s="218" t="e">
        <f>C27+#REF!</f>
        <v>#REF!</v>
      </c>
      <c r="F386" s="196"/>
      <c r="G386" s="189"/>
      <c r="H386" s="189"/>
      <c r="I386" s="189"/>
      <c r="J386" s="189"/>
      <c r="K386" s="189"/>
      <c r="L386" s="189"/>
      <c r="M386" s="319"/>
      <c r="N386" s="291">
        <v>11</v>
      </c>
      <c r="O386" s="234" t="e">
        <f>E386+'[1]ДНЗ з 01.09.13'!F742+'[1]школи з 01.09.13'!F749</f>
        <v>#REF!</v>
      </c>
      <c r="P386" s="324"/>
      <c r="Q386" s="189"/>
      <c r="R386" s="189"/>
      <c r="S386" s="189"/>
      <c r="T386" s="189"/>
    </row>
    <row r="387" spans="1:20" ht="16.5" customHeight="1" hidden="1">
      <c r="A387" s="189"/>
      <c r="B387" s="189"/>
      <c r="C387" s="189"/>
      <c r="D387" s="227">
        <v>12</v>
      </c>
      <c r="E387" s="227" t="e">
        <f>C18+C31+#REF!</f>
        <v>#REF!</v>
      </c>
      <c r="F387" s="196"/>
      <c r="G387" s="189"/>
      <c r="H387" s="189"/>
      <c r="I387" s="189"/>
      <c r="J387" s="189"/>
      <c r="K387" s="189"/>
      <c r="L387" s="189"/>
      <c r="M387" s="319"/>
      <c r="N387" s="310">
        <v>12</v>
      </c>
      <c r="O387" s="234" t="e">
        <f>E387+'[1]ДНЗ з 01.09.13'!F743+'[1]школи з 01.09.13'!F750</f>
        <v>#REF!</v>
      </c>
      <c r="P387" s="327"/>
      <c r="Q387" s="189"/>
      <c r="R387" s="189"/>
      <c r="S387" s="189"/>
      <c r="T387" s="189"/>
    </row>
    <row r="388" spans="1:20" ht="15.75" customHeight="1" hidden="1">
      <c r="A388" s="189"/>
      <c r="B388" s="189"/>
      <c r="C388" s="189"/>
      <c r="D388" s="227">
        <v>13</v>
      </c>
      <c r="E388" s="227">
        <f>C17</f>
        <v>0</v>
      </c>
      <c r="F388" s="196"/>
      <c r="G388" s="189"/>
      <c r="H388" s="189"/>
      <c r="I388" s="189"/>
      <c r="J388" s="189"/>
      <c r="K388" s="189"/>
      <c r="L388" s="189"/>
      <c r="M388" s="319"/>
      <c r="N388" s="218">
        <v>13</v>
      </c>
      <c r="O388" s="234">
        <f>E388+'[1]ДНЗ з 01.09.13'!F744+'[1]школи з 01.09.13'!F751</f>
        <v>4.5</v>
      </c>
      <c r="P388" s="189"/>
      <c r="Q388" s="189"/>
      <c r="R388" s="189"/>
      <c r="S388" s="189"/>
      <c r="T388" s="189"/>
    </row>
    <row r="389" spans="1:20" ht="15.75" customHeight="1" hidden="1">
      <c r="A389" s="189"/>
      <c r="B389" s="189"/>
      <c r="C389" s="189"/>
      <c r="D389" s="227">
        <v>14</v>
      </c>
      <c r="E389" s="227" t="e">
        <f>#REF!</f>
        <v>#REF!</v>
      </c>
      <c r="F389" s="196"/>
      <c r="G389" s="189"/>
      <c r="H389" s="189"/>
      <c r="I389" s="189"/>
      <c r="J389" s="189"/>
      <c r="K389" s="189"/>
      <c r="L389" s="189"/>
      <c r="M389" s="319"/>
      <c r="N389" s="227">
        <v>14</v>
      </c>
      <c r="O389" s="234" t="e">
        <f>E389+'[1]ДНЗ з 01.09.13'!F745+'[1]школи з 01.09.13'!F752</f>
        <v>#REF!</v>
      </c>
      <c r="P389" s="189"/>
      <c r="Q389" s="189"/>
      <c r="R389" s="189"/>
      <c r="S389" s="189"/>
      <c r="T389" s="189"/>
    </row>
    <row r="390" spans="1:20" ht="15.75" customHeight="1" hidden="1">
      <c r="A390" s="189"/>
      <c r="B390" s="189"/>
      <c r="C390" s="189"/>
      <c r="D390" s="227">
        <v>15</v>
      </c>
      <c r="E390" s="227" t="e">
        <f>#REF!</f>
        <v>#REF!</v>
      </c>
      <c r="F390" s="196"/>
      <c r="G390" s="189"/>
      <c r="H390" s="189"/>
      <c r="I390" s="189"/>
      <c r="J390" s="189"/>
      <c r="K390" s="189"/>
      <c r="L390" s="189"/>
      <c r="M390" s="319"/>
      <c r="N390" s="227">
        <v>15</v>
      </c>
      <c r="O390" s="234" t="e">
        <f>E390+'[1]ДНЗ з 01.09.13'!F746+'[1]школи з 01.09.13'!F753</f>
        <v>#REF!</v>
      </c>
      <c r="P390" s="189"/>
      <c r="Q390" s="189"/>
      <c r="R390" s="189"/>
      <c r="S390" s="189"/>
      <c r="T390" s="189"/>
    </row>
    <row r="391" spans="1:20" ht="15.75" customHeight="1" hidden="1">
      <c r="A391" s="189"/>
      <c r="B391" s="189"/>
      <c r="C391" s="189"/>
      <c r="D391" s="199">
        <v>16</v>
      </c>
      <c r="E391" s="199">
        <v>1</v>
      </c>
      <c r="F391" s="196"/>
      <c r="G391" s="189"/>
      <c r="H391" s="189"/>
      <c r="I391" s="189"/>
      <c r="J391" s="189"/>
      <c r="K391" s="189"/>
      <c r="L391" s="189"/>
      <c r="M391" s="319"/>
      <c r="N391" s="199">
        <v>16</v>
      </c>
      <c r="O391" s="234">
        <f>E391+'[1]ДНЗ з 01.09.13'!F747+'[1]школи з 01.09.13'!F754</f>
        <v>1</v>
      </c>
      <c r="P391" s="189"/>
      <c r="Q391" s="189"/>
      <c r="R391" s="189"/>
      <c r="S391" s="189"/>
      <c r="T391" s="189"/>
    </row>
    <row r="392" spans="1:20" ht="15.75" customHeight="1" hidden="1">
      <c r="A392" s="189"/>
      <c r="B392" s="189"/>
      <c r="C392" s="227" t="s">
        <v>141</v>
      </c>
      <c r="D392" s="227"/>
      <c r="E392" s="227" t="e">
        <f>SUM(E376:E391)</f>
        <v>#REF!</v>
      </c>
      <c r="F392" s="196"/>
      <c r="G392" s="189"/>
      <c r="H392" s="189"/>
      <c r="I392" s="189"/>
      <c r="J392" s="189"/>
      <c r="K392" s="189"/>
      <c r="L392" s="189"/>
      <c r="M392" s="227" t="s">
        <v>141</v>
      </c>
      <c r="N392" s="227"/>
      <c r="O392" s="234" t="e">
        <f>SUM(O376:O391)</f>
        <v>#REF!</v>
      </c>
      <c r="P392" s="269" t="e">
        <f>O392+P385</f>
        <v>#REF!</v>
      </c>
      <c r="Q392" s="189"/>
      <c r="R392" s="189"/>
      <c r="S392" s="189"/>
      <c r="T392" s="189"/>
    </row>
    <row r="393" spans="1:20" ht="15.75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</row>
    <row r="394" spans="1:20" ht="15.75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269"/>
    </row>
    <row r="395" spans="1:20" ht="15.75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</row>
    <row r="396" spans="1:20" ht="15.75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</row>
    <row r="397" spans="1:20" ht="15.75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</row>
    <row r="398" spans="1:20" ht="15.75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</row>
    <row r="399" spans="1:20" ht="15.75" customHeight="1" hidden="1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</row>
    <row r="400" spans="1:20" ht="15.75" customHeight="1" hidden="1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</row>
    <row r="401" spans="1:20" ht="15.75" customHeight="1" hidden="1">
      <c r="A401" s="189"/>
      <c r="B401" s="269" t="e">
        <f>#REF!+R34+#REF!+#REF!+#REF!+R125+R317</f>
        <v>#REF!</v>
      </c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</row>
    <row r="402" spans="1:20" ht="15.75" customHeight="1" hidden="1">
      <c r="A402" s="189"/>
      <c r="B402" s="227" t="s">
        <v>142</v>
      </c>
      <c r="C402" s="227"/>
      <c r="D402" s="227" t="s">
        <v>143</v>
      </c>
      <c r="E402" s="227" t="s">
        <v>144</v>
      </c>
      <c r="F402" s="227"/>
      <c r="G402" s="227" t="s">
        <v>126</v>
      </c>
      <c r="H402" s="227"/>
      <c r="I402" s="227"/>
      <c r="J402" s="227" t="s">
        <v>76</v>
      </c>
      <c r="K402" s="227" t="s">
        <v>145</v>
      </c>
      <c r="L402" s="189"/>
      <c r="M402" s="189"/>
      <c r="N402" s="189" t="s">
        <v>146</v>
      </c>
      <c r="O402" s="189"/>
      <c r="P402" s="189"/>
      <c r="Q402" s="189"/>
      <c r="R402" s="189"/>
      <c r="S402" s="189"/>
      <c r="T402" s="189"/>
    </row>
    <row r="403" spans="1:20" ht="15.75" customHeight="1" hidden="1">
      <c r="A403" s="189"/>
      <c r="B403" s="227"/>
      <c r="C403" s="227"/>
      <c r="D403" s="227"/>
      <c r="E403" s="227"/>
      <c r="F403" s="227"/>
      <c r="G403" s="227"/>
      <c r="H403" s="227"/>
      <c r="I403" s="227"/>
      <c r="J403" s="227"/>
      <c r="K403" s="227"/>
      <c r="L403" s="189"/>
      <c r="M403" s="189"/>
      <c r="N403" s="189"/>
      <c r="O403" s="189"/>
      <c r="P403" s="189"/>
      <c r="Q403" s="189"/>
      <c r="R403" s="189"/>
      <c r="S403" s="189"/>
      <c r="T403" s="189"/>
    </row>
    <row r="404" spans="1:20" ht="15.75" customHeight="1" hidden="1">
      <c r="A404" s="189"/>
      <c r="B404" s="227" t="s">
        <v>147</v>
      </c>
      <c r="C404" s="227"/>
      <c r="D404" s="227">
        <v>34508.22</v>
      </c>
      <c r="E404" s="234" t="e">
        <f>#REF!+#REF!+#REF!+#REF!+#REF!</f>
        <v>#REF!</v>
      </c>
      <c r="F404" s="234"/>
      <c r="G404" s="234" t="e">
        <f>#REF!+#REF!+#REF!</f>
        <v>#REF!</v>
      </c>
      <c r="H404" s="234"/>
      <c r="I404" s="234"/>
      <c r="J404" s="234" t="e">
        <f>#REF!+#REF!+#REF!+#REF!+#REF!+#REF!+#REF!+#REF!+#REF!</f>
        <v>#REF!</v>
      </c>
      <c r="K404" s="234" t="e">
        <f aca="true" t="shared" si="38" ref="K404:K409">E404+G404+J404</f>
        <v>#REF!</v>
      </c>
      <c r="L404" s="189"/>
      <c r="M404" s="189"/>
      <c r="N404" s="54" t="e">
        <f>K404+D404</f>
        <v>#REF!</v>
      </c>
      <c r="O404" s="189"/>
      <c r="P404" s="189"/>
      <c r="Q404" s="189"/>
      <c r="R404" s="189"/>
      <c r="S404" s="189"/>
      <c r="T404" s="189"/>
    </row>
    <row r="405" spans="1:20" ht="15.75" customHeight="1" hidden="1">
      <c r="A405" s="189"/>
      <c r="B405" s="227" t="s">
        <v>148</v>
      </c>
      <c r="C405" s="227"/>
      <c r="D405" s="227"/>
      <c r="E405" s="234" t="e">
        <f>R17+R18+R26+R27+R30+R31+#REF!</f>
        <v>#REF!</v>
      </c>
      <c r="F405" s="234"/>
      <c r="G405" s="234">
        <f>R28+R32</f>
        <v>0</v>
      </c>
      <c r="H405" s="234"/>
      <c r="I405" s="234"/>
      <c r="J405" s="234">
        <f>R29</f>
        <v>0</v>
      </c>
      <c r="K405" s="234" t="e">
        <f t="shared" si="38"/>
        <v>#REF!</v>
      </c>
      <c r="L405" s="189"/>
      <c r="M405" s="189"/>
      <c r="N405" s="189"/>
      <c r="O405" s="189"/>
      <c r="P405" s="189"/>
      <c r="Q405" s="189"/>
      <c r="R405" s="189"/>
      <c r="S405" s="189"/>
      <c r="T405" s="189"/>
    </row>
    <row r="406" spans="1:20" ht="15.75" customHeight="1" hidden="1">
      <c r="A406" s="189"/>
      <c r="B406" s="227" t="s">
        <v>131</v>
      </c>
      <c r="C406" s="227"/>
      <c r="D406" s="227"/>
      <c r="E406" s="234"/>
      <c r="F406" s="234"/>
      <c r="G406" s="234" t="e">
        <f>#REF!+#REF!+#REF!+#REF!+#REF!+#REF!+#REF!+#REF!</f>
        <v>#REF!</v>
      </c>
      <c r="H406" s="234"/>
      <c r="I406" s="234"/>
      <c r="J406" s="234" t="e">
        <f>#REF!+#REF!+#REF!</f>
        <v>#REF!</v>
      </c>
      <c r="K406" s="234" t="e">
        <f t="shared" si="38"/>
        <v>#REF!</v>
      </c>
      <c r="L406" s="189"/>
      <c r="M406" s="189"/>
      <c r="N406" s="189"/>
      <c r="O406" s="189"/>
      <c r="P406" s="189"/>
      <c r="Q406" s="189"/>
      <c r="R406" s="189"/>
      <c r="S406" s="189"/>
      <c r="T406" s="189"/>
    </row>
    <row r="407" spans="1:20" ht="15.75" customHeight="1" hidden="1">
      <c r="A407" s="189"/>
      <c r="B407" s="227" t="s">
        <v>149</v>
      </c>
      <c r="C407" s="227"/>
      <c r="D407" s="227"/>
      <c r="E407" s="227"/>
      <c r="F407" s="227"/>
      <c r="G407" s="234">
        <f>R100+R101+R102+R103+R104+R105+R106+R107+R108+R111+R122+R119</f>
        <v>45828</v>
      </c>
      <c r="H407" s="234"/>
      <c r="I407" s="234"/>
      <c r="J407" s="234">
        <f>R109+R110+R112+R115+R116+R117+R118+R121</f>
        <v>16082.56</v>
      </c>
      <c r="K407" s="234">
        <f t="shared" si="38"/>
        <v>61910.56</v>
      </c>
      <c r="L407" s="189"/>
      <c r="M407" s="189"/>
      <c r="N407" s="189"/>
      <c r="O407" s="189"/>
      <c r="P407" s="189"/>
      <c r="Q407" s="189"/>
      <c r="R407" s="189"/>
      <c r="S407" s="189"/>
      <c r="T407" s="189"/>
    </row>
    <row r="408" spans="1:20" ht="15.75" customHeight="1" hidden="1">
      <c r="A408" s="189"/>
      <c r="B408" s="227" t="s">
        <v>150</v>
      </c>
      <c r="C408" s="227"/>
      <c r="D408" s="227"/>
      <c r="E408" s="227"/>
      <c r="F408" s="227"/>
      <c r="G408" s="234">
        <f>R301+R303+R304+R305+R307+R309</f>
        <v>40089</v>
      </c>
      <c r="H408" s="234"/>
      <c r="I408" s="234"/>
      <c r="J408" s="234">
        <f>R306+R308+R310+R312</f>
        <v>3264</v>
      </c>
      <c r="K408" s="234">
        <f t="shared" si="38"/>
        <v>43353</v>
      </c>
      <c r="L408" s="189"/>
      <c r="M408" s="189"/>
      <c r="N408" s="189"/>
      <c r="O408" s="189"/>
      <c r="P408" s="189"/>
      <c r="Q408" s="189"/>
      <c r="R408" s="189"/>
      <c r="S408" s="189"/>
      <c r="T408" s="189"/>
    </row>
    <row r="409" spans="1:20" ht="15.75" customHeight="1" hidden="1">
      <c r="A409" s="189"/>
      <c r="B409" s="227" t="s">
        <v>138</v>
      </c>
      <c r="C409" s="227"/>
      <c r="D409" s="227"/>
      <c r="E409" s="234" t="e">
        <f>#REF!+#REF!</f>
        <v>#REF!</v>
      </c>
      <c r="F409" s="234"/>
      <c r="G409" s="234" t="e">
        <f>#REF!+#REF!+#REF!</f>
        <v>#REF!</v>
      </c>
      <c r="H409" s="234"/>
      <c r="I409" s="234"/>
      <c r="J409" s="234" t="e">
        <f>#REF!+#REF!+#REF!</f>
        <v>#REF!</v>
      </c>
      <c r="K409" s="234" t="e">
        <f t="shared" si="38"/>
        <v>#REF!</v>
      </c>
      <c r="L409" s="189"/>
      <c r="M409" s="189"/>
      <c r="N409" s="189"/>
      <c r="O409" s="189"/>
      <c r="P409" s="189"/>
      <c r="Q409" s="189"/>
      <c r="R409" s="189"/>
      <c r="S409" s="189"/>
      <c r="T409" s="189"/>
    </row>
    <row r="410" spans="1:20" ht="15.75" customHeight="1" hidden="1">
      <c r="A410" s="189"/>
      <c r="B410" s="227" t="s">
        <v>141</v>
      </c>
      <c r="C410" s="227"/>
      <c r="D410" s="227"/>
      <c r="E410" s="234" t="e">
        <f>SUM(E404:E409)</f>
        <v>#REF!</v>
      </c>
      <c r="F410" s="234"/>
      <c r="G410" s="234" t="e">
        <f>SUM(G404:G409)</f>
        <v>#REF!</v>
      </c>
      <c r="H410" s="234"/>
      <c r="I410" s="234"/>
      <c r="J410" s="234" t="e">
        <f>SUM(J404:J409)</f>
        <v>#REF!</v>
      </c>
      <c r="K410" s="234" t="e">
        <f>SUM(K404:K409)</f>
        <v>#REF!</v>
      </c>
      <c r="L410" s="189"/>
      <c r="M410" s="189"/>
      <c r="N410" s="189"/>
      <c r="O410" s="189"/>
      <c r="P410" s="189"/>
      <c r="Q410" s="189"/>
      <c r="R410" s="189"/>
      <c r="S410" s="189"/>
      <c r="T410" s="189"/>
    </row>
    <row r="411" spans="1:20" ht="15.75" customHeight="1" hidden="1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</row>
    <row r="412" spans="1:20" ht="15.75" customHeight="1" hidden="1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</row>
    <row r="413" spans="1:20" ht="15.75" customHeight="1" hidden="1">
      <c r="A413" s="189"/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</row>
    <row r="414" spans="1:20" ht="15.75" customHeight="1" hidden="1">
      <c r="A414" s="189"/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</row>
    <row r="415" spans="1:20" ht="15.75" customHeight="1" hidden="1">
      <c r="A415" s="189"/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</row>
    <row r="416" spans="1:20" ht="15.75" customHeight="1" hidden="1">
      <c r="A416" s="189"/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</row>
    <row r="417" spans="1:20" ht="15.75">
      <c r="A417" s="189"/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89"/>
    </row>
    <row r="418" spans="1:20" ht="15.75">
      <c r="A418" s="189"/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89"/>
    </row>
    <row r="419" spans="1:20" ht="15.75">
      <c r="A419" s="189"/>
      <c r="B419" s="189"/>
      <c r="C419" s="189"/>
      <c r="D419" s="189"/>
      <c r="E419" s="189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89"/>
    </row>
    <row r="420" spans="1:20" ht="15.75">
      <c r="A420" s="189"/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89"/>
    </row>
    <row r="421" spans="1:20" ht="15.75">
      <c r="A421" s="189"/>
      <c r="B421" s="189"/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</row>
    <row r="422" spans="1:20" ht="15.75">
      <c r="A422" s="189"/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89"/>
    </row>
    <row r="423" spans="1:20" ht="15.75">
      <c r="A423" s="189"/>
      <c r="B423" s="189"/>
      <c r="C423" s="189"/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</row>
    <row r="424" spans="1:20" ht="15.75">
      <c r="A424" s="189"/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</row>
    <row r="425" spans="1:20" ht="15.75">
      <c r="A425" s="189"/>
      <c r="B425" s="189"/>
      <c r="C425" s="189"/>
      <c r="D425" s="189"/>
      <c r="E425" s="189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</row>
    <row r="426" spans="1:20" ht="15.75">
      <c r="A426" s="189"/>
      <c r="B426" s="189"/>
      <c r="C426" s="189"/>
      <c r="D426" s="189"/>
      <c r="E426" s="189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</row>
  </sheetData>
  <sheetProtection selectLockedCells="1" selectUnlockedCells="1"/>
  <mergeCells count="233">
    <mergeCell ref="M2:R2"/>
    <mergeCell ref="M3:T3"/>
    <mergeCell ref="M4:T4"/>
    <mergeCell ref="M5:T5"/>
    <mergeCell ref="B6:K6"/>
    <mergeCell ref="M6:R6"/>
    <mergeCell ref="B7:K7"/>
    <mergeCell ref="B8:K8"/>
    <mergeCell ref="A12:A14"/>
    <mergeCell ref="D12:D16"/>
    <mergeCell ref="E12:E16"/>
    <mergeCell ref="F12:F16"/>
    <mergeCell ref="G12:G16"/>
    <mergeCell ref="H12:K12"/>
    <mergeCell ref="L12:L16"/>
    <mergeCell ref="M12:M16"/>
    <mergeCell ref="N12:N16"/>
    <mergeCell ref="S12:S16"/>
    <mergeCell ref="W12:W14"/>
    <mergeCell ref="Z12:Z16"/>
    <mergeCell ref="AB12:AH12"/>
    <mergeCell ref="H13:H16"/>
    <mergeCell ref="I13:I16"/>
    <mergeCell ref="J13:J16"/>
    <mergeCell ref="K13:K16"/>
    <mergeCell ref="O13:O16"/>
    <mergeCell ref="P13:P16"/>
    <mergeCell ref="Q13:Q16"/>
    <mergeCell ref="AA13:AA16"/>
    <mergeCell ref="AB13:AB16"/>
    <mergeCell ref="AC13:AC16"/>
    <mergeCell ref="AD13:AD16"/>
    <mergeCell ref="AE13:AE16"/>
    <mergeCell ref="AF13:AF16"/>
    <mergeCell ref="AG13:AG16"/>
    <mergeCell ref="AH13:AH16"/>
    <mergeCell ref="K21:L21"/>
    <mergeCell ref="K22:L22"/>
    <mergeCell ref="K23:L23"/>
    <mergeCell ref="K24:L24"/>
    <mergeCell ref="K25:L25"/>
    <mergeCell ref="W26:X26"/>
    <mergeCell ref="W35:AJ35"/>
    <mergeCell ref="B36:T36"/>
    <mergeCell ref="A43:T43"/>
    <mergeCell ref="M47:R47"/>
    <mergeCell ref="M48:R48"/>
    <mergeCell ref="M49:R49"/>
    <mergeCell ref="A54:A56"/>
    <mergeCell ref="D54:E58"/>
    <mergeCell ref="G54:K54"/>
    <mergeCell ref="G55:G58"/>
    <mergeCell ref="J55:J58"/>
    <mergeCell ref="K55:K58"/>
    <mergeCell ref="L55:L58"/>
    <mergeCell ref="M55:M58"/>
    <mergeCell ref="N55:N58"/>
    <mergeCell ref="O55:O58"/>
    <mergeCell ref="P55:P58"/>
    <mergeCell ref="Q55:Q58"/>
    <mergeCell ref="A69:R69"/>
    <mergeCell ref="A72:R72"/>
    <mergeCell ref="M86:R86"/>
    <mergeCell ref="B89:K89"/>
    <mergeCell ref="B90:K90"/>
    <mergeCell ref="B91:L91"/>
    <mergeCell ref="A95:A97"/>
    <mergeCell ref="D95:D99"/>
    <mergeCell ref="E95:E99"/>
    <mergeCell ref="G95:M95"/>
    <mergeCell ref="N95:N99"/>
    <mergeCell ref="O95:Q95"/>
    <mergeCell ref="S95:S99"/>
    <mergeCell ref="G96:G99"/>
    <mergeCell ref="K96:K99"/>
    <mergeCell ref="L96:L99"/>
    <mergeCell ref="M96:M99"/>
    <mergeCell ref="O96:O99"/>
    <mergeCell ref="P96:P99"/>
    <mergeCell ref="Q96:Q99"/>
    <mergeCell ref="A112:A113"/>
    <mergeCell ref="B112:B113"/>
    <mergeCell ref="C112:C113"/>
    <mergeCell ref="G112:G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T112:T113"/>
    <mergeCell ref="L114:L115"/>
    <mergeCell ref="P114:P115"/>
    <mergeCell ref="A115:A117"/>
    <mergeCell ref="B115:B117"/>
    <mergeCell ref="A133:T133"/>
    <mergeCell ref="M154:R154"/>
    <mergeCell ref="M156:R156"/>
    <mergeCell ref="B158:G158"/>
    <mergeCell ref="A163:A165"/>
    <mergeCell ref="D163:E167"/>
    <mergeCell ref="G163:J163"/>
    <mergeCell ref="K163:Q163"/>
    <mergeCell ref="G164:G167"/>
    <mergeCell ref="J164:J167"/>
    <mergeCell ref="K164:K167"/>
    <mergeCell ref="L164:L167"/>
    <mergeCell ref="M164:M167"/>
    <mergeCell ref="N164:N167"/>
    <mergeCell ref="O164:O167"/>
    <mergeCell ref="P164:P167"/>
    <mergeCell ref="Q164:Q167"/>
    <mergeCell ref="B182:T182"/>
    <mergeCell ref="A189:R189"/>
    <mergeCell ref="A192:R192"/>
    <mergeCell ref="A222:A224"/>
    <mergeCell ref="D222:D226"/>
    <mergeCell ref="K222:Q222"/>
    <mergeCell ref="G223:G226"/>
    <mergeCell ref="K223:K226"/>
    <mergeCell ref="L223:L226"/>
    <mergeCell ref="M223:M226"/>
    <mergeCell ref="N223:N226"/>
    <mergeCell ref="O223:O226"/>
    <mergeCell ref="P223:P226"/>
    <mergeCell ref="Q223:Q226"/>
    <mergeCell ref="A240:T240"/>
    <mergeCell ref="A270:A272"/>
    <mergeCell ref="D270:D274"/>
    <mergeCell ref="K270:Q270"/>
    <mergeCell ref="G271:G274"/>
    <mergeCell ref="K271:K274"/>
    <mergeCell ref="L271:L274"/>
    <mergeCell ref="M271:M274"/>
    <mergeCell ref="N271:N274"/>
    <mergeCell ref="O271:O274"/>
    <mergeCell ref="P271:P274"/>
    <mergeCell ref="Q271:Q274"/>
    <mergeCell ref="N285:T285"/>
    <mergeCell ref="M287:R287"/>
    <mergeCell ref="M288:R288"/>
    <mergeCell ref="B289:K289"/>
    <mergeCell ref="M290:R290"/>
    <mergeCell ref="B291:K291"/>
    <mergeCell ref="M291:R291"/>
    <mergeCell ref="B292:K292"/>
    <mergeCell ref="A296:A298"/>
    <mergeCell ref="D296:D300"/>
    <mergeCell ref="E296:E300"/>
    <mergeCell ref="L296:Q296"/>
    <mergeCell ref="S296:S300"/>
    <mergeCell ref="G297:G300"/>
    <mergeCell ref="K297:K300"/>
    <mergeCell ref="L297:L300"/>
    <mergeCell ref="M297:M300"/>
    <mergeCell ref="N297:N300"/>
    <mergeCell ref="O297:O300"/>
    <mergeCell ref="P297:P300"/>
    <mergeCell ref="Q297:Q300"/>
    <mergeCell ref="A311:A312"/>
    <mergeCell ref="C311:C312"/>
    <mergeCell ref="G311:G312"/>
    <mergeCell ref="K311:K312"/>
    <mergeCell ref="L311:L312"/>
    <mergeCell ref="M311:M312"/>
    <mergeCell ref="N311:N312"/>
    <mergeCell ref="O311:O312"/>
    <mergeCell ref="P311:P312"/>
    <mergeCell ref="Q311:Q312"/>
    <mergeCell ref="A318:T318"/>
    <mergeCell ref="A326:T326"/>
    <mergeCell ref="C346:D346"/>
    <mergeCell ref="L346:M346"/>
    <mergeCell ref="N346:O346"/>
    <mergeCell ref="P346:Q346"/>
    <mergeCell ref="C347:D347"/>
    <mergeCell ref="L347:M347"/>
    <mergeCell ref="N347:O347"/>
    <mergeCell ref="P347:Q347"/>
    <mergeCell ref="C348:O351"/>
    <mergeCell ref="P348:P351"/>
    <mergeCell ref="Q348:Q351"/>
    <mergeCell ref="C352:D352"/>
    <mergeCell ref="L352:M352"/>
    <mergeCell ref="N352:O352"/>
    <mergeCell ref="C353:D353"/>
    <mergeCell ref="L353:M353"/>
    <mergeCell ref="N353:O353"/>
    <mergeCell ref="P353:Q353"/>
    <mergeCell ref="C354:D354"/>
    <mergeCell ref="L354:M354"/>
    <mergeCell ref="N354:O354"/>
    <mergeCell ref="P354:Q354"/>
    <mergeCell ref="C355:D355"/>
    <mergeCell ref="L355:M355"/>
    <mergeCell ref="N355:O355"/>
    <mergeCell ref="P355:Q355"/>
    <mergeCell ref="C356:D356"/>
    <mergeCell ref="L356:M356"/>
    <mergeCell ref="N356:O356"/>
    <mergeCell ref="P356:Q356"/>
    <mergeCell ref="C357:D357"/>
    <mergeCell ref="L357:M357"/>
    <mergeCell ref="N357:O357"/>
    <mergeCell ref="P357:Q357"/>
    <mergeCell ref="C358:D358"/>
    <mergeCell ref="L358:M358"/>
    <mergeCell ref="N358:O358"/>
    <mergeCell ref="P358:Q358"/>
    <mergeCell ref="C359:D359"/>
    <mergeCell ref="L359:M359"/>
    <mergeCell ref="N359:O359"/>
    <mergeCell ref="P359:Q359"/>
    <mergeCell ref="C360:D360"/>
    <mergeCell ref="L360:M360"/>
    <mergeCell ref="N360:O360"/>
    <mergeCell ref="P360:Q360"/>
    <mergeCell ref="C361:D361"/>
    <mergeCell ref="L361:M361"/>
    <mergeCell ref="N361:O361"/>
    <mergeCell ref="P361:Q361"/>
    <mergeCell ref="C362:D362"/>
    <mergeCell ref="L362:M362"/>
    <mergeCell ref="N362:O362"/>
    <mergeCell ref="P362:Q362"/>
    <mergeCell ref="C363:D363"/>
    <mergeCell ref="L363:M363"/>
    <mergeCell ref="N363:O363"/>
    <mergeCell ref="P363:Q363"/>
    <mergeCell ref="A370:T370"/>
    <mergeCell ref="M376:M391"/>
  </mergeCells>
  <printOptions horizontalCentered="1"/>
  <pageMargins left="0.31527777777777777" right="0" top="0.3541666666666667" bottom="0.35416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2019-12-12T12:22:32Z</cp:lastPrinted>
  <dcterms:created xsi:type="dcterms:W3CDTF">2004-04-30T06:23:17Z</dcterms:created>
  <dcterms:modified xsi:type="dcterms:W3CDTF">2020-12-28T12:18:03Z</dcterms:modified>
  <cp:category/>
  <cp:version/>
  <cp:contentType/>
  <cp:contentStatus/>
  <cp:revision>1</cp:revision>
</cp:coreProperties>
</file>