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5461" windowWidth="12990" windowHeight="9105" tabRatio="624" activeTab="0"/>
  </bookViews>
  <sheets>
    <sheet name="управління освіти з 01.01.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<sst xmlns="http://schemas.openxmlformats.org/spreadsheetml/2006/main" count="221" uniqueCount="114">
  <si>
    <t>Штатний розпис</t>
  </si>
  <si>
    <t>№</t>
  </si>
  <si>
    <t>назва структурного</t>
  </si>
  <si>
    <t>підрозділу та посада</t>
  </si>
  <si>
    <t>кільк</t>
  </si>
  <si>
    <t>штат</t>
  </si>
  <si>
    <t>посад</t>
  </si>
  <si>
    <t>надбавки</t>
  </si>
  <si>
    <t>доплати</t>
  </si>
  <si>
    <t>класн.</t>
  </si>
  <si>
    <t>ФНЗ</t>
  </si>
  <si>
    <t>на</t>
  </si>
  <si>
    <t>місяць</t>
  </si>
  <si>
    <t>ФЗП</t>
  </si>
  <si>
    <t>рік</t>
  </si>
  <si>
    <t>ВСЬОГО</t>
  </si>
  <si>
    <t>(назва установи,організації)</t>
  </si>
  <si>
    <t>вислуга</t>
  </si>
  <si>
    <t>оклад</t>
  </si>
  <si>
    <t>Секретар-друкарка</t>
  </si>
  <si>
    <t>Сторож</t>
  </si>
  <si>
    <t>т.4-22-04</t>
  </si>
  <si>
    <t>Заступник директора</t>
  </si>
  <si>
    <t>Спеціал.1 категор</t>
  </si>
  <si>
    <t>Спеціал.2 категор</t>
  </si>
  <si>
    <t>Спеціаліст</t>
  </si>
  <si>
    <t>Додаток № 21</t>
  </si>
  <si>
    <t>Всього</t>
  </si>
  <si>
    <t>В(з)СШ</t>
  </si>
  <si>
    <t>Господарча група</t>
  </si>
  <si>
    <t>Майстер вироб.навчання</t>
  </si>
  <si>
    <t>з навч.-вихов.роботи</t>
  </si>
  <si>
    <t>на рік</t>
  </si>
  <si>
    <t>Експедитор</t>
  </si>
  <si>
    <t>Калькулятор</t>
  </si>
  <si>
    <t>надбавка</t>
  </si>
  <si>
    <t>премія</t>
  </si>
  <si>
    <t>від _____   __________  2007р</t>
  </si>
  <si>
    <t>Прибиральник служб.приміщень</t>
  </si>
  <si>
    <t>Інженер-будівельник</t>
  </si>
  <si>
    <t>Провідний спеціаліст</t>
  </si>
  <si>
    <t>Технік по обслуговуванню холодильного обладнання</t>
  </si>
  <si>
    <t>до рішення виконкому  №__</t>
  </si>
  <si>
    <t>Керуючий справами  ____________________________В.Д.Сергієнко</t>
  </si>
  <si>
    <t>Виконавець:</t>
  </si>
  <si>
    <t>Г.П.Рубаха</t>
  </si>
  <si>
    <t>Зав.складу</t>
  </si>
  <si>
    <t>посадовий оклад,грн.</t>
  </si>
  <si>
    <t>за використання в роботі дез.засобів(10%)</t>
  </si>
  <si>
    <t>за роботу в нічний час</t>
  </si>
  <si>
    <t>грн.</t>
  </si>
  <si>
    <t>11тар.розряд</t>
  </si>
  <si>
    <t>2тар.розряд</t>
  </si>
  <si>
    <t>9тар.розряд</t>
  </si>
  <si>
    <t>95% від окладу гл.бух.</t>
  </si>
  <si>
    <t>Прибиральник службов.приміщень</t>
  </si>
  <si>
    <t>Додаток№28</t>
  </si>
  <si>
    <t>Надбавка педагогам за престижність(постанова № 373)-20%</t>
  </si>
  <si>
    <t>з 01.09.2012року.</t>
  </si>
  <si>
    <t>Навчально-виробничий  центр професійної підготовки молоді у комунальному закладі СЗШ №4</t>
  </si>
  <si>
    <t>Заступник директора з навч.-виховн частини</t>
  </si>
  <si>
    <t>95% від окладу дир.СЗШ№4</t>
  </si>
  <si>
    <t>штат у кількості  5,75 штатних одиниць</t>
  </si>
  <si>
    <t>з місячним фондом заробітної плати  10794,78 грн.</t>
  </si>
  <si>
    <t>до рішення виконкому №</t>
  </si>
  <si>
    <t>Керуючий справами виконкому                                   В.Д.Сергієнко</t>
  </si>
  <si>
    <t>Виконавець: Г.П.Рубаха 4-20-41</t>
  </si>
  <si>
    <t>Робітник з комплекс.обслуговування та ремонту будівель</t>
  </si>
  <si>
    <t>Завідувач господарством</t>
  </si>
  <si>
    <t>Водій автотранспортних засобів</t>
  </si>
  <si>
    <t>Програміст</t>
  </si>
  <si>
    <t>25%,50%</t>
  </si>
  <si>
    <t xml:space="preserve">Цех харчування </t>
  </si>
  <si>
    <t>Провідний спеціаліст-юрисконсульт</t>
  </si>
  <si>
    <t>Головний спеціаліст з питань дитячого харчування</t>
  </si>
  <si>
    <t>посадовий оклад,   грн.</t>
  </si>
  <si>
    <t>тариф ний роз  ряд</t>
  </si>
  <si>
    <t>Головний спеціаліст</t>
  </si>
  <si>
    <t>доплата до  мін.зп 3723</t>
  </si>
  <si>
    <t>ФЗП з урахуванням мін. ЗП .3723</t>
  </si>
  <si>
    <t>Механік</t>
  </si>
  <si>
    <t>Робітник по обслуговуванню електромереж</t>
  </si>
  <si>
    <t>тарифний розряд</t>
  </si>
  <si>
    <t>штат у кількості  9,50 штатних одиниць</t>
  </si>
  <si>
    <t>ФЗП з урахуванням мін. ЗП 3723</t>
  </si>
  <si>
    <t>Штатний розпис   з 01.09.2018р.</t>
  </si>
  <si>
    <t>Штатний розпис  з 01.09.2018р.</t>
  </si>
  <si>
    <t>за використання в роботі дез.засобів(10%),шкідлив.умови</t>
  </si>
  <si>
    <t>штат у кількості 22,25 штатних одиниць</t>
  </si>
  <si>
    <t>Головний бухгалтер</t>
  </si>
  <si>
    <t>Заступник головного бухгалтера</t>
  </si>
  <si>
    <t>Старший інженер</t>
  </si>
  <si>
    <t>Опалювач(сезон       ний)</t>
  </si>
  <si>
    <t>Спеціаліст І кат.</t>
  </si>
  <si>
    <t>до рішення виконкому</t>
  </si>
  <si>
    <t>з місячним фондом заробітної плати  115158,24   грн.</t>
  </si>
  <si>
    <t>з місячним фондом заробітної плати 46853,63    грн.</t>
  </si>
  <si>
    <t>Начальник управління освіти</t>
  </si>
  <si>
    <t>Т.Ю.Філіпова</t>
  </si>
  <si>
    <t>Додаток№ 18</t>
  </si>
  <si>
    <t>Додаток№  19</t>
  </si>
  <si>
    <t>за класність-25%</t>
  </si>
  <si>
    <t>Управління освіти</t>
  </si>
  <si>
    <t>Г.А.Цупрова</t>
  </si>
  <si>
    <t>ЗАТВЕРДЖЕНО</t>
  </si>
  <si>
    <t>Рішення виконавчого комітету</t>
  </si>
  <si>
    <t>Покровської міської ради</t>
  </si>
  <si>
    <t>______________</t>
  </si>
  <si>
    <t>Зарплата по окладам</t>
  </si>
  <si>
    <t>ФЗП з урахуванням мін. ЗП</t>
  </si>
  <si>
    <t xml:space="preserve">      </t>
  </si>
  <si>
    <t>Штатний розпис  з  01.01.2021р.</t>
  </si>
  <si>
    <t>Кількість штатних одиниць</t>
  </si>
  <si>
    <t>з місячним фондом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</si>
</sst>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0.00_ ;[Red]\-0.00\ "/>
  </numFmts>
  <fonts count="5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Bodoni MT Condensed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justify" vertical="center"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1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9" fontId="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textRotation="90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textRotation="90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9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justify" vertical="center" wrapText="1"/>
    </xf>
    <xf numFmtId="1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2" fontId="2" fillId="0" borderId="12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9" fontId="9" fillId="0" borderId="11" xfId="0" applyNumberFormat="1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9" fontId="9" fillId="0" borderId="15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" fontId="9" fillId="0" borderId="1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" fontId="11" fillId="0" borderId="12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" fontId="9" fillId="33" borderId="12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justify" vertical="center"/>
    </xf>
    <xf numFmtId="1" fontId="9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justify" vertical="center"/>
    </xf>
    <xf numFmtId="2" fontId="9" fillId="33" borderId="12" xfId="0" applyNumberFormat="1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" fontId="17" fillId="0" borderId="12" xfId="0" applyNumberFormat="1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0" fillId="33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1" fontId="11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/>
    </xf>
    <xf numFmtId="2" fontId="11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2" fontId="9" fillId="0" borderId="10" xfId="0" applyNumberFormat="1" applyFont="1" applyFill="1" applyBorder="1" applyAlignment="1">
      <alignment/>
    </xf>
    <xf numFmtId="179" fontId="9" fillId="33" borderId="10" xfId="6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9" fontId="9" fillId="0" borderId="21" xfId="0" applyNumberFormat="1" applyFont="1" applyFill="1" applyBorder="1" applyAlignment="1">
      <alignment horizontal="center" textRotation="90"/>
    </xf>
    <xf numFmtId="9" fontId="9" fillId="0" borderId="0" xfId="0" applyNumberFormat="1" applyFont="1" applyFill="1" applyBorder="1" applyAlignment="1">
      <alignment horizontal="center" textRotation="90"/>
    </xf>
    <xf numFmtId="9" fontId="9" fillId="0" borderId="13" xfId="0" applyNumberFormat="1" applyFont="1" applyFill="1" applyBorder="1" applyAlignment="1">
      <alignment horizontal="center" textRotation="90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justify" vertical="center"/>
    </xf>
    <xf numFmtId="9" fontId="3" fillId="0" borderId="0" xfId="0" applyNumberFormat="1" applyFont="1" applyFill="1" applyBorder="1" applyAlignment="1">
      <alignment horizontal="center" textRotation="90"/>
    </xf>
    <xf numFmtId="9" fontId="9" fillId="0" borderId="16" xfId="0" applyNumberFormat="1" applyFont="1" applyFill="1" applyBorder="1" applyAlignment="1">
      <alignment horizontal="center" textRotation="90"/>
    </xf>
    <xf numFmtId="9" fontId="9" fillId="0" borderId="12" xfId="0" applyNumberFormat="1" applyFont="1" applyFill="1" applyBorder="1" applyAlignment="1">
      <alignment horizontal="center" textRotation="90"/>
    </xf>
    <xf numFmtId="0" fontId="9" fillId="33" borderId="17" xfId="0" applyFont="1" applyFill="1" applyBorder="1" applyAlignment="1">
      <alignment horizontal="justify" vertical="center"/>
    </xf>
    <xf numFmtId="0" fontId="9" fillId="33" borderId="17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textRotation="90"/>
    </xf>
    <xf numFmtId="2" fontId="9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2" fontId="11" fillId="33" borderId="12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6" fontId="9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9" fillId="0" borderId="20" xfId="0" applyFont="1" applyFill="1" applyBorder="1" applyAlignment="1">
      <alignment/>
    </xf>
    <xf numFmtId="183" fontId="11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justify" vertical="center" wrapText="1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textRotation="90"/>
    </xf>
    <xf numFmtId="0" fontId="9" fillId="0" borderId="2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textRotation="90" wrapText="1"/>
    </xf>
    <xf numFmtId="0" fontId="2" fillId="0" borderId="16" xfId="0" applyFont="1" applyFill="1" applyBorder="1" applyAlignment="1">
      <alignment horizontal="justify" vertical="center" textRotation="90" wrapText="1"/>
    </xf>
    <xf numFmtId="0" fontId="2" fillId="0" borderId="12" xfId="0" applyFont="1" applyFill="1" applyBorder="1" applyAlignment="1">
      <alignment horizontal="justify" vertical="center" textRotation="90" wrapText="1"/>
    </xf>
    <xf numFmtId="9" fontId="9" fillId="0" borderId="11" xfId="0" applyNumberFormat="1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justify" vertical="center" textRotation="90"/>
    </xf>
    <xf numFmtId="0" fontId="9" fillId="0" borderId="16" xfId="0" applyFont="1" applyFill="1" applyBorder="1" applyAlignment="1">
      <alignment horizontal="justify" vertical="center" textRotation="90"/>
    </xf>
    <xf numFmtId="0" fontId="9" fillId="0" borderId="12" xfId="0" applyFont="1" applyFill="1" applyBorder="1" applyAlignment="1">
      <alignment horizontal="justify" vertical="center" textRotation="90"/>
    </xf>
    <xf numFmtId="9" fontId="9" fillId="0" borderId="16" xfId="0" applyNumberFormat="1" applyFont="1" applyFill="1" applyBorder="1" applyAlignment="1">
      <alignment horizontal="center" textRotation="90"/>
    </xf>
    <xf numFmtId="9" fontId="9" fillId="0" borderId="12" xfId="0" applyNumberFormat="1" applyFont="1" applyFill="1" applyBorder="1" applyAlignment="1">
      <alignment horizontal="center" textRotation="90"/>
    </xf>
    <xf numFmtId="0" fontId="11" fillId="0" borderId="11" xfId="0" applyFont="1" applyFill="1" applyBorder="1" applyAlignment="1">
      <alignment horizontal="justify" vertical="center" textRotation="90"/>
    </xf>
    <xf numFmtId="0" fontId="11" fillId="0" borderId="16" xfId="0" applyFont="1" applyFill="1" applyBorder="1" applyAlignment="1">
      <alignment horizontal="justify" vertical="center" textRotation="90"/>
    </xf>
    <xf numFmtId="0" fontId="11" fillId="0" borderId="12" xfId="0" applyFont="1" applyFill="1" applyBorder="1" applyAlignment="1">
      <alignment horizontal="justify" vertical="center" textRotation="90"/>
    </xf>
    <xf numFmtId="9" fontId="9" fillId="0" borderId="11" xfId="0" applyNumberFormat="1" applyFont="1" applyFill="1" applyBorder="1" applyAlignment="1">
      <alignment horizontal="justify" vertical="center" textRotation="90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vertical="center" textRotation="90" wrapText="1"/>
    </xf>
    <xf numFmtId="0" fontId="18" fillId="0" borderId="16" xfId="0" applyFont="1" applyFill="1" applyBorder="1" applyAlignment="1">
      <alignment horizontal="justify" vertical="center" textRotation="90" wrapText="1"/>
    </xf>
    <xf numFmtId="0" fontId="18" fillId="0" borderId="12" xfId="0" applyFont="1" applyFill="1" applyBorder="1" applyAlignment="1">
      <alignment horizontal="justify" vertical="center" textRotation="90" wrapText="1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9" fontId="3" fillId="0" borderId="0" xfId="0" applyNumberFormat="1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9" fontId="3" fillId="0" borderId="11" xfId="0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 textRotation="90"/>
    </xf>
    <xf numFmtId="0" fontId="3" fillId="0" borderId="16" xfId="0" applyFont="1" applyFill="1" applyBorder="1" applyAlignment="1">
      <alignment horizontal="justify" vertical="center" textRotation="90"/>
    </xf>
    <xf numFmtId="0" fontId="3" fillId="0" borderId="12" xfId="0" applyFont="1" applyFill="1" applyBorder="1" applyAlignment="1">
      <alignment horizontal="justify" vertical="center" textRotation="90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33" borderId="11" xfId="0" applyFont="1" applyFill="1" applyBorder="1" applyAlignment="1">
      <alignment horizontal="justify" vertical="center"/>
    </xf>
    <xf numFmtId="0" fontId="9" fillId="33" borderId="16" xfId="0" applyFont="1" applyFill="1" applyBorder="1" applyAlignment="1">
      <alignment horizontal="justify" vertical="center"/>
    </xf>
    <xf numFmtId="0" fontId="9" fillId="33" borderId="12" xfId="0" applyFont="1" applyFill="1" applyBorder="1" applyAlignment="1">
      <alignment horizontal="justify" vertical="center"/>
    </xf>
    <xf numFmtId="9" fontId="3" fillId="0" borderId="11" xfId="0" applyNumberFormat="1" applyFont="1" applyFill="1" applyBorder="1" applyAlignment="1">
      <alignment horizontal="justify" vertical="center" textRotation="90"/>
    </xf>
    <xf numFmtId="0" fontId="3" fillId="0" borderId="13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9" fontId="9" fillId="0" borderId="21" xfId="0" applyNumberFormat="1" applyFont="1" applyFill="1" applyBorder="1" applyAlignment="1">
      <alignment horizontal="center" textRotation="90"/>
    </xf>
    <xf numFmtId="9" fontId="9" fillId="0" borderId="0" xfId="0" applyNumberFormat="1" applyFont="1" applyFill="1" applyBorder="1" applyAlignment="1">
      <alignment horizontal="center" textRotation="90"/>
    </xf>
    <xf numFmtId="9" fontId="9" fillId="0" borderId="13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9" fontId="9" fillId="0" borderId="16" xfId="0" applyNumberFormat="1" applyFont="1" applyFill="1" applyBorder="1" applyAlignment="1">
      <alignment horizontal="justify" vertical="center" textRotation="90"/>
    </xf>
    <xf numFmtId="9" fontId="9" fillId="0" borderId="12" xfId="0" applyNumberFormat="1" applyFont="1" applyFill="1" applyBorder="1" applyAlignment="1">
      <alignment horizontal="justify" vertical="center" textRotation="90"/>
    </xf>
    <xf numFmtId="0" fontId="20" fillId="0" borderId="11" xfId="0" applyFont="1" applyFill="1" applyBorder="1" applyAlignment="1">
      <alignment horizontal="justify" vertical="center" textRotation="90"/>
    </xf>
    <xf numFmtId="0" fontId="20" fillId="0" borderId="16" xfId="0" applyFont="1" applyFill="1" applyBorder="1" applyAlignment="1">
      <alignment horizontal="justify" vertical="center" textRotation="90"/>
    </xf>
    <xf numFmtId="0" fontId="20" fillId="0" borderId="12" xfId="0" applyFont="1" applyFill="1" applyBorder="1" applyAlignment="1">
      <alignment horizontal="justify" vertical="center" textRotation="90"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justify" vertical="center" textRotation="90"/>
    </xf>
    <xf numFmtId="0" fontId="10" fillId="0" borderId="16" xfId="0" applyFont="1" applyFill="1" applyBorder="1" applyAlignment="1">
      <alignment horizontal="justify" vertical="center" textRotation="90"/>
    </xf>
    <xf numFmtId="0" fontId="10" fillId="0" borderId="12" xfId="0" applyFont="1" applyFill="1" applyBorder="1" applyAlignment="1">
      <alignment horizontal="justify" vertical="center" textRotation="90"/>
    </xf>
    <xf numFmtId="0" fontId="9" fillId="0" borderId="0" xfId="0" applyFont="1" applyFill="1" applyAlignment="1">
      <alignment horizontal="right"/>
    </xf>
    <xf numFmtId="1" fontId="10" fillId="0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41;&#1070;&#1044;&#1046;&#1045;&#1058;%202020%20%20&#1047;&#1040;&#1058;&#1042;&#1045;&#1056;&#1044;&#1046;&#1045;&#1053;&#1048;&#1049;\&#1064;&#1058;&#1040;&#1058;&#1053;&#1030;%20&#1056;&#1054;&#1047;&#1055;&#1048;&#1057;&#1048;%202020\&#1096;&#1090;&#1072;&#1090;&#1082;&#1072;%20&#1054;&#1041;&#1028;&#1044;&#1053;&#1040;&#1053;&#1045;(&#1062;&#1041;%20&#1075;&#1086;&#1089;&#1087;.&#1075;&#1088;.&#1094;&#1077;&#1093;%20&#1093;&#1072;&#1088;&#1095;&#1091;&#1074;.)\&#1085;&#1086;&#1074;.&#1096;&#1090;.&#1088;&#1086;&#1079;.%20&#1085;&#1072;%201.09.13%20&#1086;&#1089;.&#1079;%20&#1090;&#1072;&#1088;&#1080;&#109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(2)з 01.09.13"/>
      <sheetName val="ДНЗ з 01.09.13"/>
      <sheetName val="школи з 01.09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20"/>
  <sheetViews>
    <sheetView tabSelected="1" zoomScalePageLayoutView="0" workbookViewId="0" topLeftCell="A32">
      <selection activeCell="M54" sqref="M54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5.625" style="0" customWidth="1"/>
    <col min="4" max="4" width="6.875" style="0" customWidth="1"/>
    <col min="5" max="5" width="5.625" style="0" customWidth="1"/>
    <col min="6" max="6" width="10.375" style="0" customWidth="1"/>
    <col min="7" max="7" width="6.00390625" style="0" hidden="1" customWidth="1"/>
    <col min="8" max="8" width="9.00390625" style="0" customWidth="1"/>
    <col min="9" max="9" width="6.00390625" style="0" customWidth="1"/>
    <col min="10" max="11" width="9.625" style="0" bestFit="1" customWidth="1"/>
    <col min="12" max="12" width="9.625" style="0" customWidth="1"/>
    <col min="13" max="13" width="12.125" style="0" customWidth="1"/>
    <col min="14" max="14" width="9.00390625" style="0" customWidth="1"/>
    <col min="15" max="15" width="0.2421875" style="0" hidden="1" customWidth="1"/>
    <col min="16" max="16" width="11.00390625" style="0" customWidth="1"/>
    <col min="17" max="17" width="8.75390625" style="0" customWidth="1"/>
    <col min="18" max="18" width="10.375" style="0" customWidth="1"/>
    <col min="19" max="19" width="12.25390625" style="0" customWidth="1"/>
    <col min="21" max="21" width="12.00390625" style="0" customWidth="1"/>
  </cols>
  <sheetData>
    <row r="1" s="2" customFormat="1" ht="4.5" customHeight="1">
      <c r="H1" s="65"/>
    </row>
    <row r="2" spans="1:19" s="2" customFormat="1" ht="15.75">
      <c r="A2" s="62"/>
      <c r="B2" s="62"/>
      <c r="C2" s="62"/>
      <c r="D2" s="62"/>
      <c r="E2" s="62"/>
      <c r="F2" s="62"/>
      <c r="G2" s="62"/>
      <c r="H2" s="62"/>
      <c r="I2" s="62"/>
      <c r="J2" s="67"/>
      <c r="K2" s="67"/>
      <c r="L2" s="67"/>
      <c r="M2" s="67"/>
      <c r="N2" s="67"/>
      <c r="O2" s="67"/>
      <c r="P2" s="67" t="s">
        <v>104</v>
      </c>
      <c r="Q2" s="67"/>
      <c r="R2" s="67"/>
      <c r="S2" s="67"/>
    </row>
    <row r="3" spans="1:19" s="2" customFormat="1" ht="23.25" customHeight="1">
      <c r="A3" s="62"/>
      <c r="B3" s="62"/>
      <c r="C3" s="62"/>
      <c r="D3" s="62"/>
      <c r="E3" s="62"/>
      <c r="F3" s="62"/>
      <c r="G3" s="62"/>
      <c r="H3" s="62"/>
      <c r="I3" s="62"/>
      <c r="J3" s="197"/>
      <c r="K3" s="197"/>
      <c r="L3" s="197"/>
      <c r="M3" s="197"/>
      <c r="N3" s="197"/>
      <c r="O3" s="197"/>
      <c r="P3" s="201" t="s">
        <v>105</v>
      </c>
      <c r="Q3" s="201"/>
      <c r="R3" s="201"/>
      <c r="S3" s="201"/>
    </row>
    <row r="4" spans="1:19" s="2" customFormat="1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 t="s">
        <v>106</v>
      </c>
      <c r="Q4" s="62"/>
      <c r="R4" s="62"/>
      <c r="S4" s="62"/>
    </row>
    <row r="5" spans="1:19" s="2" customFormat="1" ht="15.75">
      <c r="A5" s="62"/>
      <c r="B5" s="245" t="s">
        <v>111</v>
      </c>
      <c r="C5" s="245"/>
      <c r="D5" s="245"/>
      <c r="E5" s="245"/>
      <c r="F5" s="245"/>
      <c r="G5" s="245"/>
      <c r="H5" s="245"/>
      <c r="I5" s="62"/>
      <c r="J5" s="62"/>
      <c r="K5" s="62"/>
      <c r="L5" s="196"/>
      <c r="M5" s="62"/>
      <c r="N5" s="62"/>
      <c r="O5" s="62"/>
      <c r="P5" s="62" t="s">
        <v>107</v>
      </c>
      <c r="Q5" s="62"/>
      <c r="R5" s="196" t="s">
        <v>110</v>
      </c>
      <c r="S5" s="62" t="s">
        <v>1</v>
      </c>
    </row>
    <row r="6" spans="1:19" s="2" customFormat="1" ht="20.25">
      <c r="A6" s="62"/>
      <c r="B6" s="297" t="s">
        <v>102</v>
      </c>
      <c r="C6" s="297"/>
      <c r="D6" s="297"/>
      <c r="E6" s="297"/>
      <c r="F6" s="297"/>
      <c r="G6" s="297"/>
      <c r="H6" s="297"/>
      <c r="I6" s="62"/>
      <c r="J6" s="62"/>
      <c r="K6" s="62"/>
      <c r="L6" s="62"/>
      <c r="M6" s="62"/>
      <c r="N6" s="62"/>
      <c r="O6" s="62"/>
      <c r="P6" s="62" t="s">
        <v>112</v>
      </c>
      <c r="Q6" s="62"/>
      <c r="R6" s="62"/>
      <c r="S6" s="90">
        <f>C44</f>
        <v>54.25</v>
      </c>
    </row>
    <row r="7" spans="1:19" s="2" customFormat="1" ht="15.75">
      <c r="A7" s="62"/>
      <c r="B7" s="278" t="s">
        <v>16</v>
      </c>
      <c r="C7" s="278"/>
      <c r="D7" s="278"/>
      <c r="E7" s="278"/>
      <c r="F7" s="278"/>
      <c r="G7" s="278"/>
      <c r="H7" s="278"/>
      <c r="I7" s="62"/>
      <c r="J7" s="56"/>
      <c r="K7" s="56"/>
      <c r="L7" s="56"/>
      <c r="M7" s="56"/>
      <c r="N7" s="56"/>
      <c r="O7" s="56"/>
      <c r="P7" s="56" t="s">
        <v>113</v>
      </c>
      <c r="Q7" s="56"/>
      <c r="R7" s="56"/>
      <c r="S7" s="90">
        <f>R44</f>
        <v>565566.4024999999</v>
      </c>
    </row>
    <row r="8" spans="1:19" s="2" customFormat="1" ht="15.75">
      <c r="A8" s="62"/>
      <c r="B8" s="62"/>
      <c r="C8" s="62"/>
      <c r="D8" s="62"/>
      <c r="E8" s="62"/>
      <c r="F8" s="62"/>
      <c r="G8" s="62"/>
      <c r="H8" s="62"/>
      <c r="I8" s="62"/>
      <c r="J8" s="56"/>
      <c r="K8" s="56"/>
      <c r="L8" s="56"/>
      <c r="M8" s="56"/>
      <c r="N8" s="56"/>
      <c r="O8" s="56"/>
      <c r="P8" s="56"/>
      <c r="Q8" s="56"/>
      <c r="R8" s="56"/>
      <c r="S8" s="302" t="s">
        <v>50</v>
      </c>
    </row>
    <row r="9" spans="1:19" s="2" customFormat="1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298"/>
      <c r="L9" s="298"/>
      <c r="M9" s="298"/>
      <c r="N9" s="298"/>
      <c r="O9" s="298"/>
      <c r="P9" s="298"/>
      <c r="Q9" s="298"/>
      <c r="R9" s="298"/>
      <c r="S9" s="298"/>
    </row>
    <row r="10" spans="1:19" s="2" customFormat="1" ht="15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s="2" customFormat="1" ht="18.75" customHeight="1">
      <c r="A11" s="234" t="s">
        <v>1</v>
      </c>
      <c r="B11" s="68" t="s">
        <v>2</v>
      </c>
      <c r="C11" s="133" t="s">
        <v>4</v>
      </c>
      <c r="D11" s="236" t="s">
        <v>75</v>
      </c>
      <c r="E11" s="285" t="s">
        <v>82</v>
      </c>
      <c r="F11" s="294" t="s">
        <v>108</v>
      </c>
      <c r="G11" s="198"/>
      <c r="H11" s="239" t="s">
        <v>7</v>
      </c>
      <c r="I11" s="239"/>
      <c r="J11" s="240"/>
      <c r="K11" s="109"/>
      <c r="L11" s="194"/>
      <c r="M11" s="239" t="s">
        <v>8</v>
      </c>
      <c r="N11" s="239"/>
      <c r="O11" s="240"/>
      <c r="P11" s="68" t="s">
        <v>13</v>
      </c>
      <c r="Q11" s="241">
        <v>6000</v>
      </c>
      <c r="R11" s="221" t="s">
        <v>109</v>
      </c>
      <c r="S11" s="69" t="s">
        <v>13</v>
      </c>
    </row>
    <row r="12" spans="1:19" s="2" customFormat="1" ht="18" customHeight="1">
      <c r="A12" s="235"/>
      <c r="B12" s="73" t="s">
        <v>3</v>
      </c>
      <c r="C12" s="134" t="s">
        <v>5</v>
      </c>
      <c r="D12" s="236"/>
      <c r="E12" s="286"/>
      <c r="F12" s="295"/>
      <c r="G12" s="203"/>
      <c r="H12" s="203"/>
      <c r="I12" s="203"/>
      <c r="J12" s="224">
        <v>0.5</v>
      </c>
      <c r="K12" s="233" t="s">
        <v>36</v>
      </c>
      <c r="L12" s="233" t="s">
        <v>101</v>
      </c>
      <c r="M12" s="290" t="s">
        <v>48</v>
      </c>
      <c r="N12" s="299" t="s">
        <v>49</v>
      </c>
      <c r="O12" s="233"/>
      <c r="P12" s="73" t="s">
        <v>11</v>
      </c>
      <c r="Q12" s="242"/>
      <c r="R12" s="222"/>
      <c r="S12" s="74" t="s">
        <v>11</v>
      </c>
    </row>
    <row r="13" spans="1:19" s="2" customFormat="1" ht="15.75">
      <c r="A13" s="235"/>
      <c r="B13" s="73"/>
      <c r="C13" s="134" t="s">
        <v>6</v>
      </c>
      <c r="D13" s="236"/>
      <c r="E13" s="286"/>
      <c r="F13" s="295"/>
      <c r="G13" s="204"/>
      <c r="H13" s="204"/>
      <c r="I13" s="204"/>
      <c r="J13" s="204"/>
      <c r="K13" s="288"/>
      <c r="L13" s="288"/>
      <c r="M13" s="291"/>
      <c r="N13" s="300"/>
      <c r="O13" s="226"/>
      <c r="P13" s="98" t="s">
        <v>12</v>
      </c>
      <c r="Q13" s="242"/>
      <c r="R13" s="222"/>
      <c r="S13" s="74" t="s">
        <v>14</v>
      </c>
    </row>
    <row r="14" spans="1:19" s="2" customFormat="1" ht="15.75">
      <c r="A14" s="72"/>
      <c r="B14" s="73"/>
      <c r="C14" s="73"/>
      <c r="D14" s="236"/>
      <c r="E14" s="286"/>
      <c r="F14" s="295"/>
      <c r="G14" s="204"/>
      <c r="H14" s="204"/>
      <c r="I14" s="204"/>
      <c r="J14" s="204"/>
      <c r="K14" s="288"/>
      <c r="L14" s="288"/>
      <c r="M14" s="291"/>
      <c r="N14" s="300"/>
      <c r="O14" s="226"/>
      <c r="P14" s="98" t="s">
        <v>50</v>
      </c>
      <c r="Q14" s="242"/>
      <c r="R14" s="222"/>
      <c r="S14" s="74" t="s">
        <v>50</v>
      </c>
    </row>
    <row r="15" spans="1:19" s="2" customFormat="1" ht="51.75" customHeight="1">
      <c r="A15" s="75"/>
      <c r="B15" s="77"/>
      <c r="C15" s="77"/>
      <c r="D15" s="236"/>
      <c r="E15" s="287"/>
      <c r="F15" s="296"/>
      <c r="G15" s="205"/>
      <c r="H15" s="205"/>
      <c r="I15" s="205"/>
      <c r="J15" s="205"/>
      <c r="K15" s="289"/>
      <c r="L15" s="289"/>
      <c r="M15" s="292"/>
      <c r="N15" s="301"/>
      <c r="O15" s="227"/>
      <c r="P15" s="76"/>
      <c r="Q15" s="243"/>
      <c r="R15" s="223"/>
      <c r="S15" s="78"/>
    </row>
    <row r="16" spans="1:19" s="2" customFormat="1" ht="31.5">
      <c r="A16" s="142">
        <v>1</v>
      </c>
      <c r="B16" s="100" t="s">
        <v>89</v>
      </c>
      <c r="C16" s="142">
        <v>1</v>
      </c>
      <c r="D16" s="81">
        <v>4859</v>
      </c>
      <c r="E16" s="303">
        <v>10</v>
      </c>
      <c r="F16" s="104">
        <f>D16*C16</f>
        <v>4859</v>
      </c>
      <c r="G16" s="104"/>
      <c r="H16" s="104"/>
      <c r="I16" s="104"/>
      <c r="J16" s="83">
        <f>D16*0.5</f>
        <v>2429.5</v>
      </c>
      <c r="K16" s="83">
        <f>(D16+J16)*150%</f>
        <v>10932.75</v>
      </c>
      <c r="L16" s="83"/>
      <c r="M16" s="104"/>
      <c r="N16" s="104"/>
      <c r="O16" s="104"/>
      <c r="P16" s="84">
        <f>F16+H16+I16+J16+K16+L16+M16+N16</f>
        <v>18221.25</v>
      </c>
      <c r="Q16" s="84"/>
      <c r="R16" s="84">
        <f>P16+Q16</f>
        <v>18221.25</v>
      </c>
      <c r="S16" s="84">
        <f>R16*11+R16*1.083+F16</f>
        <v>225026.36375</v>
      </c>
    </row>
    <row r="17" spans="1:19" s="2" customFormat="1" ht="54.75" customHeight="1">
      <c r="A17" s="154">
        <v>2</v>
      </c>
      <c r="B17" s="106" t="s">
        <v>90</v>
      </c>
      <c r="C17" s="154">
        <v>1</v>
      </c>
      <c r="D17" s="81">
        <f>D16*95%</f>
        <v>4616.05</v>
      </c>
      <c r="E17" s="132" t="s">
        <v>54</v>
      </c>
      <c r="F17" s="104">
        <f aca="true" t="shared" si="0" ref="F17:F43">D17*C17</f>
        <v>4616.05</v>
      </c>
      <c r="G17" s="57"/>
      <c r="H17" s="57"/>
      <c r="I17" s="57"/>
      <c r="J17" s="83">
        <f>D17*0.5</f>
        <v>2308.025</v>
      </c>
      <c r="K17" s="83">
        <f>(D17+J17)*120%</f>
        <v>8308.890000000001</v>
      </c>
      <c r="L17" s="83"/>
      <c r="M17" s="57"/>
      <c r="N17" s="57"/>
      <c r="O17" s="57"/>
      <c r="P17" s="84">
        <f>F17+H17+I17+J17+K17+L17+M17+N17</f>
        <v>15232.965000000002</v>
      </c>
      <c r="Q17" s="84"/>
      <c r="R17" s="84">
        <f aca="true" t="shared" si="1" ref="R17:R32">P17+Q17</f>
        <v>15232.965000000002</v>
      </c>
      <c r="S17" s="84">
        <f aca="true" t="shared" si="2" ref="S17:S43">R17*11+R17*1.083+F17</f>
        <v>188675.966095</v>
      </c>
    </row>
    <row r="18" spans="1:19" s="2" customFormat="1" ht="42" customHeight="1">
      <c r="A18" s="154">
        <v>3</v>
      </c>
      <c r="B18" s="164" t="s">
        <v>77</v>
      </c>
      <c r="C18" s="305">
        <v>2</v>
      </c>
      <c r="D18" s="105">
        <v>4859</v>
      </c>
      <c r="E18" s="303">
        <v>10</v>
      </c>
      <c r="F18" s="104">
        <f t="shared" si="0"/>
        <v>9718</v>
      </c>
      <c r="G18" s="99"/>
      <c r="H18" s="99"/>
      <c r="I18" s="99"/>
      <c r="J18" s="83">
        <f>D18*C18*50%</f>
        <v>4859</v>
      </c>
      <c r="K18" s="83">
        <f>(D18*2+J18)*100%</f>
        <v>14577</v>
      </c>
      <c r="L18" s="83"/>
      <c r="M18" s="57"/>
      <c r="N18" s="57"/>
      <c r="O18" s="57"/>
      <c r="P18" s="84">
        <f>F18+H18+I18+J18+K18+L18+M18+N18</f>
        <v>29154</v>
      </c>
      <c r="Q18" s="84"/>
      <c r="R18" s="84">
        <f t="shared" si="1"/>
        <v>29154</v>
      </c>
      <c r="S18" s="84">
        <f t="shared" si="2"/>
        <v>361985.782</v>
      </c>
    </row>
    <row r="19" spans="1:19" s="2" customFormat="1" ht="31.5">
      <c r="A19" s="154">
        <v>4</v>
      </c>
      <c r="B19" s="106" t="s">
        <v>40</v>
      </c>
      <c r="C19" s="154">
        <v>7</v>
      </c>
      <c r="D19" s="81">
        <v>4859</v>
      </c>
      <c r="E19" s="303">
        <v>10</v>
      </c>
      <c r="F19" s="104">
        <f>D19*C19</f>
        <v>34013</v>
      </c>
      <c r="G19" s="57"/>
      <c r="H19" s="57"/>
      <c r="I19" s="57"/>
      <c r="J19" s="83">
        <f aca="true" t="shared" si="3" ref="J19:J28">D19*C19*50%</f>
        <v>17006.5</v>
      </c>
      <c r="K19" s="83">
        <f>(D19*C19+J19)*100%</f>
        <v>51019.5</v>
      </c>
      <c r="L19" s="83"/>
      <c r="M19" s="57"/>
      <c r="N19" s="57"/>
      <c r="O19" s="57"/>
      <c r="P19" s="84">
        <f aca="true" t="shared" si="4" ref="P19:P43">F19+H19+I19+J19+K19+L19+M19+N19</f>
        <v>102039</v>
      </c>
      <c r="Q19" s="84"/>
      <c r="R19" s="84">
        <f>P19+Q19</f>
        <v>102039</v>
      </c>
      <c r="S19" s="84">
        <f t="shared" si="2"/>
        <v>1266950.237</v>
      </c>
    </row>
    <row r="20" spans="1:19" s="2" customFormat="1" ht="47.25">
      <c r="A20" s="154">
        <v>5</v>
      </c>
      <c r="B20" s="106" t="s">
        <v>73</v>
      </c>
      <c r="C20" s="154">
        <v>1</v>
      </c>
      <c r="D20" s="81">
        <v>4859</v>
      </c>
      <c r="E20" s="303">
        <v>10</v>
      </c>
      <c r="F20" s="104">
        <f>D20*C20</f>
        <v>4859</v>
      </c>
      <c r="G20" s="57"/>
      <c r="H20" s="57"/>
      <c r="I20" s="57"/>
      <c r="J20" s="83">
        <f t="shared" si="3"/>
        <v>2429.5</v>
      </c>
      <c r="K20" s="83">
        <f>(D20*C20+J20)*100%</f>
        <v>7288.5</v>
      </c>
      <c r="L20" s="83"/>
      <c r="M20" s="57"/>
      <c r="N20" s="57"/>
      <c r="O20" s="57"/>
      <c r="P20" s="84">
        <f t="shared" si="4"/>
        <v>14577</v>
      </c>
      <c r="Q20" s="84"/>
      <c r="R20" s="84">
        <f t="shared" si="1"/>
        <v>14577</v>
      </c>
      <c r="S20" s="84">
        <f t="shared" si="2"/>
        <v>180992.891</v>
      </c>
    </row>
    <row r="21" spans="1:19" s="2" customFormat="1" ht="15.75">
      <c r="A21" s="154">
        <v>6</v>
      </c>
      <c r="B21" s="100" t="s">
        <v>91</v>
      </c>
      <c r="C21" s="142">
        <v>1</v>
      </c>
      <c r="D21" s="81">
        <v>4619</v>
      </c>
      <c r="E21" s="303">
        <v>9</v>
      </c>
      <c r="F21" s="104">
        <f t="shared" si="0"/>
        <v>4619</v>
      </c>
      <c r="G21" s="104"/>
      <c r="H21" s="104"/>
      <c r="I21" s="104"/>
      <c r="J21" s="83">
        <f>D21*50%</f>
        <v>2309.5</v>
      </c>
      <c r="K21" s="83">
        <f>(D21+J21)*100%</f>
        <v>6928.5</v>
      </c>
      <c r="L21" s="83"/>
      <c r="M21" s="104"/>
      <c r="N21" s="57"/>
      <c r="O21" s="57"/>
      <c r="P21" s="84">
        <f t="shared" si="4"/>
        <v>13857</v>
      </c>
      <c r="Q21" s="84"/>
      <c r="R21" s="84">
        <f t="shared" si="1"/>
        <v>13857</v>
      </c>
      <c r="S21" s="84">
        <f t="shared" si="2"/>
        <v>172053.131</v>
      </c>
    </row>
    <row r="22" spans="1:21" s="2" customFormat="1" ht="31.5">
      <c r="A22" s="154">
        <v>7</v>
      </c>
      <c r="B22" s="106" t="s">
        <v>39</v>
      </c>
      <c r="C22" s="154">
        <v>1</v>
      </c>
      <c r="D22" s="81">
        <v>4619</v>
      </c>
      <c r="E22" s="303">
        <v>9</v>
      </c>
      <c r="F22" s="104">
        <f t="shared" si="0"/>
        <v>4619</v>
      </c>
      <c r="G22" s="57"/>
      <c r="H22" s="57"/>
      <c r="I22" s="57"/>
      <c r="J22" s="83">
        <f>D22*50%</f>
        <v>2309.5</v>
      </c>
      <c r="K22" s="83">
        <f>(D22+J22)*100%</f>
        <v>6928.5</v>
      </c>
      <c r="L22" s="83"/>
      <c r="M22" s="57"/>
      <c r="N22" s="57"/>
      <c r="O22" s="57"/>
      <c r="P22" s="84">
        <f t="shared" si="4"/>
        <v>13857</v>
      </c>
      <c r="Q22" s="84"/>
      <c r="R22" s="84">
        <f t="shared" si="1"/>
        <v>13857</v>
      </c>
      <c r="S22" s="84">
        <f t="shared" si="2"/>
        <v>172053.131</v>
      </c>
      <c r="U22" s="2">
        <f>R22/2</f>
        <v>6928.5</v>
      </c>
    </row>
    <row r="23" spans="1:19" s="2" customFormat="1" ht="15.75">
      <c r="A23" s="154">
        <v>8</v>
      </c>
      <c r="B23" s="57" t="s">
        <v>70</v>
      </c>
      <c r="C23" s="154">
        <v>1</v>
      </c>
      <c r="D23" s="81">
        <v>4619</v>
      </c>
      <c r="E23" s="303">
        <v>9</v>
      </c>
      <c r="F23" s="104">
        <f t="shared" si="0"/>
        <v>4619</v>
      </c>
      <c r="G23" s="57"/>
      <c r="H23" s="57"/>
      <c r="I23" s="57"/>
      <c r="J23" s="57">
        <f>D23*50%</f>
        <v>2309.5</v>
      </c>
      <c r="K23" s="60">
        <f>(D23+J23)*75%</f>
        <v>5196.375</v>
      </c>
      <c r="L23" s="60"/>
      <c r="M23" s="57"/>
      <c r="N23" s="57"/>
      <c r="O23" s="57"/>
      <c r="P23" s="84">
        <f t="shared" si="4"/>
        <v>12124.875</v>
      </c>
      <c r="Q23" s="84"/>
      <c r="R23" s="84">
        <f t="shared" si="1"/>
        <v>12124.875</v>
      </c>
      <c r="S23" s="84">
        <f t="shared" si="2"/>
        <v>151123.864625</v>
      </c>
    </row>
    <row r="24" spans="1:19" s="2" customFormat="1" ht="15.75">
      <c r="A24" s="154">
        <v>9</v>
      </c>
      <c r="B24" s="106" t="s">
        <v>23</v>
      </c>
      <c r="C24" s="154">
        <v>7</v>
      </c>
      <c r="D24" s="81">
        <v>4619</v>
      </c>
      <c r="E24" s="303">
        <v>9</v>
      </c>
      <c r="F24" s="104">
        <f>D24*C24</f>
        <v>32333</v>
      </c>
      <c r="G24" s="57"/>
      <c r="H24" s="57"/>
      <c r="I24" s="57"/>
      <c r="J24" s="11">
        <f t="shared" si="3"/>
        <v>16166.5</v>
      </c>
      <c r="K24" s="83">
        <f>(D24*C24+J24)*75%</f>
        <v>36374.625</v>
      </c>
      <c r="L24" s="83"/>
      <c r="M24" s="57"/>
      <c r="N24" s="57"/>
      <c r="O24" s="57"/>
      <c r="P24" s="84">
        <f t="shared" si="4"/>
        <v>84874.125</v>
      </c>
      <c r="Q24" s="84"/>
      <c r="R24" s="84">
        <f t="shared" si="1"/>
        <v>84874.125</v>
      </c>
      <c r="S24" s="84">
        <f t="shared" si="2"/>
        <v>1057867.052375</v>
      </c>
    </row>
    <row r="25" spans="1:19" s="2" customFormat="1" ht="19.5" customHeight="1">
      <c r="A25" s="154">
        <v>10</v>
      </c>
      <c r="B25" s="106" t="s">
        <v>24</v>
      </c>
      <c r="C25" s="154">
        <v>3</v>
      </c>
      <c r="D25" s="81">
        <v>4379</v>
      </c>
      <c r="E25" s="303">
        <v>8</v>
      </c>
      <c r="F25" s="104">
        <f t="shared" si="0"/>
        <v>13137</v>
      </c>
      <c r="G25" s="57"/>
      <c r="H25" s="57"/>
      <c r="I25" s="57"/>
      <c r="J25" s="60">
        <f t="shared" si="3"/>
        <v>6568.5</v>
      </c>
      <c r="K25" s="83">
        <f>(D25*C25+J25)*70%</f>
        <v>13793.849999999999</v>
      </c>
      <c r="L25" s="83"/>
      <c r="M25" s="57"/>
      <c r="N25" s="57"/>
      <c r="O25" s="57"/>
      <c r="P25" s="84">
        <f t="shared" si="4"/>
        <v>33499.35</v>
      </c>
      <c r="Q25" s="84"/>
      <c r="R25" s="84">
        <f t="shared" si="1"/>
        <v>33499.35</v>
      </c>
      <c r="S25" s="84">
        <f t="shared" si="2"/>
        <v>417909.64605</v>
      </c>
    </row>
    <row r="26" spans="1:19" s="2" customFormat="1" ht="19.5" customHeight="1">
      <c r="A26" s="154">
        <v>11</v>
      </c>
      <c r="B26" s="106" t="s">
        <v>25</v>
      </c>
      <c r="C26" s="154">
        <v>8</v>
      </c>
      <c r="D26" s="81">
        <v>4112</v>
      </c>
      <c r="E26" s="303">
        <v>7</v>
      </c>
      <c r="F26" s="104">
        <f>D26*C26</f>
        <v>32896</v>
      </c>
      <c r="G26" s="57"/>
      <c r="H26" s="57"/>
      <c r="I26" s="57"/>
      <c r="J26" s="60">
        <f>D26*C26*50%</f>
        <v>16448</v>
      </c>
      <c r="K26" s="83">
        <f>(D26*C26+J26)*70%</f>
        <v>34540.799999999996</v>
      </c>
      <c r="L26" s="83"/>
      <c r="M26" s="57"/>
      <c r="N26" s="60"/>
      <c r="O26" s="57"/>
      <c r="P26" s="84">
        <f>F26+H26+I26+J26+K26+L26+M26+N26</f>
        <v>83884.79999999999</v>
      </c>
      <c r="Q26" s="115"/>
      <c r="R26" s="84">
        <f t="shared" si="1"/>
        <v>83884.79999999999</v>
      </c>
      <c r="S26" s="84">
        <f t="shared" si="2"/>
        <v>1046476.0383999998</v>
      </c>
    </row>
    <row r="27" spans="1:19" s="2" customFormat="1" ht="36" customHeight="1">
      <c r="A27" s="154">
        <v>12</v>
      </c>
      <c r="B27" s="155" t="s">
        <v>68</v>
      </c>
      <c r="C27" s="154">
        <v>1</v>
      </c>
      <c r="D27" s="81">
        <v>4379</v>
      </c>
      <c r="E27" s="303">
        <v>8</v>
      </c>
      <c r="F27" s="104">
        <f t="shared" si="0"/>
        <v>4379</v>
      </c>
      <c r="G27" s="57"/>
      <c r="H27" s="57"/>
      <c r="I27" s="57"/>
      <c r="J27" s="60"/>
      <c r="K27" s="83"/>
      <c r="L27" s="83"/>
      <c r="M27" s="57"/>
      <c r="N27" s="60"/>
      <c r="O27" s="57"/>
      <c r="P27" s="84">
        <f t="shared" si="4"/>
        <v>4379</v>
      </c>
      <c r="Q27" s="199">
        <f>6000*C27-(P27-N27-M27)</f>
        <v>1621</v>
      </c>
      <c r="R27" s="84">
        <f t="shared" si="1"/>
        <v>6000</v>
      </c>
      <c r="S27" s="84">
        <f t="shared" si="2"/>
        <v>76877</v>
      </c>
    </row>
    <row r="28" spans="1:19" s="2" customFormat="1" ht="20.25" customHeight="1">
      <c r="A28" s="154">
        <v>13</v>
      </c>
      <c r="B28" s="106" t="s">
        <v>19</v>
      </c>
      <c r="C28" s="306">
        <v>1</v>
      </c>
      <c r="D28" s="82">
        <v>3631</v>
      </c>
      <c r="E28" s="303">
        <v>5</v>
      </c>
      <c r="F28" s="104">
        <f t="shared" si="0"/>
        <v>3631</v>
      </c>
      <c r="G28" s="57"/>
      <c r="H28" s="57"/>
      <c r="I28" s="57"/>
      <c r="J28" s="60">
        <f t="shared" si="3"/>
        <v>1815.5</v>
      </c>
      <c r="K28" s="83">
        <f>(D28*C28+J28)*50%</f>
        <v>2723.25</v>
      </c>
      <c r="L28" s="83"/>
      <c r="M28" s="57"/>
      <c r="N28" s="57"/>
      <c r="O28" s="57"/>
      <c r="P28" s="84">
        <f t="shared" si="4"/>
        <v>8169.75</v>
      </c>
      <c r="Q28" s="199"/>
      <c r="R28" s="84">
        <f t="shared" si="1"/>
        <v>8169.75</v>
      </c>
      <c r="S28" s="84">
        <f t="shared" si="2"/>
        <v>102346.08925</v>
      </c>
    </row>
    <row r="29" spans="1:19" s="2" customFormat="1" ht="54" customHeight="1">
      <c r="A29" s="154">
        <v>14</v>
      </c>
      <c r="B29" s="106" t="s">
        <v>69</v>
      </c>
      <c r="C29" s="154">
        <v>1</v>
      </c>
      <c r="D29" s="81">
        <v>3151</v>
      </c>
      <c r="E29" s="303">
        <v>3</v>
      </c>
      <c r="F29" s="104">
        <f t="shared" si="0"/>
        <v>3151</v>
      </c>
      <c r="G29" s="57"/>
      <c r="H29" s="89"/>
      <c r="I29" s="57"/>
      <c r="J29" s="60">
        <f>D29*50%</f>
        <v>1575.5</v>
      </c>
      <c r="K29" s="83">
        <f>(D29*C29+J29+L29)*25%</f>
        <v>1378.5625</v>
      </c>
      <c r="L29" s="60">
        <f>D29*C29*25%</f>
        <v>787.75</v>
      </c>
      <c r="M29" s="57"/>
      <c r="N29" s="104"/>
      <c r="O29" s="57"/>
      <c r="P29" s="84">
        <f t="shared" si="4"/>
        <v>6892.8125</v>
      </c>
      <c r="Q29" s="199"/>
      <c r="R29" s="84">
        <f t="shared" si="1"/>
        <v>6892.8125</v>
      </c>
      <c r="S29" s="84">
        <f t="shared" si="2"/>
        <v>86436.8534375</v>
      </c>
    </row>
    <row r="30" spans="1:19" s="2" customFormat="1" ht="31.5">
      <c r="A30" s="154">
        <v>15</v>
      </c>
      <c r="B30" s="106" t="s">
        <v>38</v>
      </c>
      <c r="C30" s="154">
        <v>1.25</v>
      </c>
      <c r="D30" s="81">
        <v>2910</v>
      </c>
      <c r="E30" s="303">
        <v>2</v>
      </c>
      <c r="F30" s="104">
        <f t="shared" si="0"/>
        <v>3637.5</v>
      </c>
      <c r="G30" s="57"/>
      <c r="H30" s="57"/>
      <c r="I30" s="57"/>
      <c r="J30" s="57"/>
      <c r="K30" s="57"/>
      <c r="L30" s="57"/>
      <c r="M30" s="60">
        <f>D30*10%*C30</f>
        <v>363.75</v>
      </c>
      <c r="N30" s="57"/>
      <c r="O30" s="57"/>
      <c r="P30" s="84">
        <f t="shared" si="4"/>
        <v>4001.25</v>
      </c>
      <c r="Q30" s="199">
        <f aca="true" t="shared" si="5" ref="Q30:Q43">6000*C30-(P30-N30-M30)</f>
        <v>3862.5</v>
      </c>
      <c r="R30" s="84">
        <f t="shared" si="1"/>
        <v>7863.75</v>
      </c>
      <c r="S30" s="84">
        <f t="shared" si="2"/>
        <v>98655.19125</v>
      </c>
    </row>
    <row r="31" spans="1:19" s="2" customFormat="1" ht="15.75" hidden="1">
      <c r="A31" s="154"/>
      <c r="B31" s="106"/>
      <c r="C31" s="154"/>
      <c r="D31" s="81"/>
      <c r="E31" s="303"/>
      <c r="F31" s="104">
        <f t="shared" si="0"/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84">
        <f t="shared" si="4"/>
        <v>0</v>
      </c>
      <c r="Q31" s="199">
        <f t="shared" si="5"/>
        <v>0</v>
      </c>
      <c r="R31" s="84"/>
      <c r="S31" s="84">
        <f t="shared" si="2"/>
        <v>0</v>
      </c>
    </row>
    <row r="32" spans="1:19" s="2" customFormat="1" ht="20.25" customHeight="1">
      <c r="A32" s="200">
        <v>16</v>
      </c>
      <c r="B32" s="106" t="s">
        <v>20</v>
      </c>
      <c r="C32" s="154">
        <v>7</v>
      </c>
      <c r="D32" s="81">
        <v>2910</v>
      </c>
      <c r="E32" s="303">
        <v>2</v>
      </c>
      <c r="F32" s="104">
        <f>D32*C32</f>
        <v>20370</v>
      </c>
      <c r="G32" s="56"/>
      <c r="H32" s="57"/>
      <c r="I32" s="57"/>
      <c r="J32" s="57"/>
      <c r="K32" s="57"/>
      <c r="L32" s="57"/>
      <c r="M32" s="57"/>
      <c r="N32" s="89">
        <f>D32*33%*C32</f>
        <v>6722.1</v>
      </c>
      <c r="O32" s="57"/>
      <c r="P32" s="84">
        <f>F32+H32+I32+J32+K32+L32+M32+N32</f>
        <v>27092.1</v>
      </c>
      <c r="Q32" s="199">
        <f t="shared" si="5"/>
        <v>21630</v>
      </c>
      <c r="R32" s="84">
        <f t="shared" si="1"/>
        <v>48722.1</v>
      </c>
      <c r="S32" s="84">
        <f t="shared" si="2"/>
        <v>609079.1343</v>
      </c>
    </row>
    <row r="33" spans="1:21" s="2" customFormat="1" ht="38.25" customHeight="1">
      <c r="A33" s="138">
        <v>17</v>
      </c>
      <c r="B33" s="106" t="s">
        <v>92</v>
      </c>
      <c r="C33" s="154">
        <v>4</v>
      </c>
      <c r="D33" s="81">
        <v>2670</v>
      </c>
      <c r="E33" s="303">
        <v>1</v>
      </c>
      <c r="F33" s="104">
        <f>D33*C33</f>
        <v>10680</v>
      </c>
      <c r="G33" s="57"/>
      <c r="H33" s="57"/>
      <c r="I33" s="57"/>
      <c r="J33" s="57"/>
      <c r="K33" s="60"/>
      <c r="L33" s="60"/>
      <c r="M33" s="57">
        <f>D33*C33*12%</f>
        <v>1281.6</v>
      </c>
      <c r="N33" s="71">
        <f>D33*C33*33%</f>
        <v>3524.4</v>
      </c>
      <c r="O33" s="57"/>
      <c r="P33" s="84">
        <f>F33+H33+I33+J33+K33+L33+M33+N33</f>
        <v>15486</v>
      </c>
      <c r="Q33" s="199">
        <f t="shared" si="5"/>
        <v>13320</v>
      </c>
      <c r="R33" s="84">
        <f>P33+Q33</f>
        <v>28806</v>
      </c>
      <c r="S33" s="84">
        <f>R33*5+R33*1.083+F33</f>
        <v>185906.898</v>
      </c>
      <c r="U33" s="4"/>
    </row>
    <row r="34" spans="1:19" s="2" customFormat="1" ht="50.25" customHeight="1" hidden="1">
      <c r="A34" s="139">
        <v>18</v>
      </c>
      <c r="B34" s="80"/>
      <c r="C34" s="142"/>
      <c r="D34" s="81"/>
      <c r="E34" s="303"/>
      <c r="F34" s="104">
        <f t="shared" si="0"/>
        <v>0</v>
      </c>
      <c r="G34" s="88"/>
      <c r="H34" s="88"/>
      <c r="I34" s="83"/>
      <c r="J34" s="83">
        <f>D34*C34*50%</f>
        <v>0</v>
      </c>
      <c r="K34" s="83">
        <f>(D34*C34+J34)*100%</f>
        <v>0</v>
      </c>
      <c r="L34" s="83"/>
      <c r="M34" s="83"/>
      <c r="N34" s="156"/>
      <c r="O34" s="84">
        <f>D34*C34+F34+H34+I34+J34+K34+L34+M34+N34</f>
        <v>0</v>
      </c>
      <c r="P34" s="84">
        <f t="shared" si="4"/>
        <v>0</v>
      </c>
      <c r="Q34" s="199">
        <f t="shared" si="5"/>
        <v>0</v>
      </c>
      <c r="R34" s="84">
        <f aca="true" t="shared" si="6" ref="R34:R43">P34+Q34</f>
        <v>0</v>
      </c>
      <c r="S34" s="84">
        <f t="shared" si="2"/>
        <v>0</v>
      </c>
    </row>
    <row r="35" spans="1:19" s="2" customFormat="1" ht="21" customHeight="1" hidden="1">
      <c r="A35" s="139"/>
      <c r="B35" s="57"/>
      <c r="C35" s="154"/>
      <c r="D35" s="81"/>
      <c r="E35" s="303" t="s">
        <v>51</v>
      </c>
      <c r="F35" s="104">
        <f t="shared" si="0"/>
        <v>0</v>
      </c>
      <c r="G35" s="88"/>
      <c r="H35" s="11"/>
      <c r="I35" s="60"/>
      <c r="J35" s="83">
        <f aca="true" t="shared" si="7" ref="J35:J42">D35*C35*50%</f>
        <v>0</v>
      </c>
      <c r="K35" s="83">
        <f>(D35*C35+J35)*100%</f>
        <v>0</v>
      </c>
      <c r="L35" s="60"/>
      <c r="M35" s="60"/>
      <c r="N35" s="60"/>
      <c r="O35" s="84">
        <f aca="true" t="shared" si="8" ref="O35:O42">D35*C35+F35+H35+I35+J35+K35+L35+M35+N35</f>
        <v>0</v>
      </c>
      <c r="P35" s="84">
        <f t="shared" si="4"/>
        <v>0</v>
      </c>
      <c r="Q35" s="199">
        <f t="shared" si="5"/>
        <v>0</v>
      </c>
      <c r="R35" s="84">
        <f t="shared" si="6"/>
        <v>0</v>
      </c>
      <c r="S35" s="84">
        <f t="shared" si="2"/>
        <v>0</v>
      </c>
    </row>
    <row r="36" spans="1:19" s="2" customFormat="1" ht="32.25" customHeight="1" hidden="1">
      <c r="A36" s="139">
        <v>19</v>
      </c>
      <c r="B36" s="158"/>
      <c r="C36" s="154"/>
      <c r="D36" s="81"/>
      <c r="E36" s="303">
        <v>9</v>
      </c>
      <c r="F36" s="104">
        <f t="shared" si="0"/>
        <v>0</v>
      </c>
      <c r="G36" s="88"/>
      <c r="H36" s="11"/>
      <c r="I36" s="60"/>
      <c r="J36" s="83">
        <f t="shared" si="7"/>
        <v>0</v>
      </c>
      <c r="K36" s="83">
        <f>(D36*C36+J36)*100%</f>
        <v>0</v>
      </c>
      <c r="L36" s="60"/>
      <c r="M36" s="60"/>
      <c r="N36" s="60"/>
      <c r="O36" s="84">
        <f t="shared" si="8"/>
        <v>0</v>
      </c>
      <c r="P36" s="84">
        <f t="shared" si="4"/>
        <v>0</v>
      </c>
      <c r="Q36" s="199">
        <f t="shared" si="5"/>
        <v>0</v>
      </c>
      <c r="R36" s="84">
        <f t="shared" si="6"/>
        <v>0</v>
      </c>
      <c r="S36" s="84">
        <f t="shared" si="2"/>
        <v>0</v>
      </c>
    </row>
    <row r="37" spans="1:19" s="2" customFormat="1" ht="34.5" customHeight="1" hidden="1">
      <c r="A37" s="139"/>
      <c r="B37" s="158"/>
      <c r="C37" s="154"/>
      <c r="D37" s="81"/>
      <c r="E37" s="303"/>
      <c r="F37" s="104">
        <f t="shared" si="0"/>
        <v>0</v>
      </c>
      <c r="G37" s="88"/>
      <c r="H37" s="11"/>
      <c r="I37" s="60"/>
      <c r="J37" s="83">
        <f t="shared" si="7"/>
        <v>0</v>
      </c>
      <c r="K37" s="83">
        <f>(D37*C37+J37)*100%</f>
        <v>0</v>
      </c>
      <c r="L37" s="60"/>
      <c r="M37" s="60"/>
      <c r="N37" s="60"/>
      <c r="O37" s="84">
        <f t="shared" si="8"/>
        <v>0</v>
      </c>
      <c r="P37" s="84">
        <f t="shared" si="4"/>
        <v>0</v>
      </c>
      <c r="Q37" s="199">
        <f t="shared" si="5"/>
        <v>0</v>
      </c>
      <c r="R37" s="84">
        <f t="shared" si="6"/>
        <v>0</v>
      </c>
      <c r="S37" s="84">
        <f t="shared" si="2"/>
        <v>0</v>
      </c>
    </row>
    <row r="38" spans="1:19" s="2" customFormat="1" ht="33.75" customHeight="1" hidden="1">
      <c r="A38" s="139"/>
      <c r="B38" s="158"/>
      <c r="C38" s="154"/>
      <c r="D38" s="81"/>
      <c r="E38" s="303"/>
      <c r="F38" s="104">
        <f t="shared" si="0"/>
        <v>0</v>
      </c>
      <c r="G38" s="88"/>
      <c r="H38" s="11"/>
      <c r="I38" s="60"/>
      <c r="J38" s="83"/>
      <c r="K38" s="83"/>
      <c r="L38" s="60"/>
      <c r="M38" s="60"/>
      <c r="N38" s="60"/>
      <c r="O38" s="84">
        <f t="shared" si="8"/>
        <v>0</v>
      </c>
      <c r="P38" s="84">
        <f t="shared" si="4"/>
        <v>0</v>
      </c>
      <c r="Q38" s="199">
        <f t="shared" si="5"/>
        <v>0</v>
      </c>
      <c r="R38" s="84">
        <f t="shared" si="6"/>
        <v>0</v>
      </c>
      <c r="S38" s="84">
        <f t="shared" si="2"/>
        <v>0</v>
      </c>
    </row>
    <row r="39" spans="1:19" s="2" customFormat="1" ht="32.25" customHeight="1" hidden="1">
      <c r="A39" s="139"/>
      <c r="B39" s="158"/>
      <c r="C39" s="154"/>
      <c r="D39" s="81"/>
      <c r="E39" s="303"/>
      <c r="F39" s="104">
        <f t="shared" si="0"/>
        <v>0</v>
      </c>
      <c r="G39" s="88"/>
      <c r="H39" s="11"/>
      <c r="I39" s="60"/>
      <c r="J39" s="83">
        <f t="shared" si="7"/>
        <v>0</v>
      </c>
      <c r="K39" s="83">
        <f>(D39*C39+J39)*70%</f>
        <v>0</v>
      </c>
      <c r="L39" s="60"/>
      <c r="M39" s="60"/>
      <c r="N39" s="60"/>
      <c r="O39" s="84">
        <f t="shared" si="8"/>
        <v>0</v>
      </c>
      <c r="P39" s="84">
        <f t="shared" si="4"/>
        <v>0</v>
      </c>
      <c r="Q39" s="199">
        <f t="shared" si="5"/>
        <v>0</v>
      </c>
      <c r="R39" s="84">
        <f t="shared" si="6"/>
        <v>0</v>
      </c>
      <c r="S39" s="84">
        <f t="shared" si="2"/>
        <v>0</v>
      </c>
    </row>
    <row r="40" spans="1:19" s="2" customFormat="1" ht="32.25" customHeight="1" hidden="1">
      <c r="A40" s="139">
        <v>5</v>
      </c>
      <c r="B40" s="159" t="s">
        <v>25</v>
      </c>
      <c r="C40" s="307"/>
      <c r="D40" s="118"/>
      <c r="E40" s="304"/>
      <c r="F40" s="104">
        <f t="shared" si="0"/>
        <v>0</v>
      </c>
      <c r="G40" s="150"/>
      <c r="H40" s="126"/>
      <c r="I40" s="119"/>
      <c r="J40" s="83">
        <f t="shared" si="7"/>
        <v>0</v>
      </c>
      <c r="K40" s="83">
        <f>(D40*C40+J40)*70%</f>
        <v>0</v>
      </c>
      <c r="L40" s="119"/>
      <c r="M40" s="119"/>
      <c r="N40" s="119"/>
      <c r="O40" s="128"/>
      <c r="P40" s="84">
        <f t="shared" si="4"/>
        <v>0</v>
      </c>
      <c r="Q40" s="199">
        <f t="shared" si="5"/>
        <v>0</v>
      </c>
      <c r="R40" s="84">
        <f t="shared" si="6"/>
        <v>0</v>
      </c>
      <c r="S40" s="84">
        <f t="shared" si="2"/>
        <v>0</v>
      </c>
    </row>
    <row r="41" spans="1:19" s="2" customFormat="1" ht="32.25" customHeight="1" hidden="1">
      <c r="A41" s="139">
        <v>21</v>
      </c>
      <c r="B41" s="158"/>
      <c r="C41" s="154"/>
      <c r="D41" s="81"/>
      <c r="E41" s="303">
        <v>5</v>
      </c>
      <c r="F41" s="104">
        <f t="shared" si="0"/>
        <v>0</v>
      </c>
      <c r="G41" s="88"/>
      <c r="H41" s="11"/>
      <c r="I41" s="60"/>
      <c r="J41" s="83">
        <f t="shared" si="7"/>
        <v>0</v>
      </c>
      <c r="K41" s="83">
        <f>(D41*C41+J41)*70%</f>
        <v>0</v>
      </c>
      <c r="L41" s="60"/>
      <c r="M41" s="60"/>
      <c r="N41" s="60"/>
      <c r="O41" s="84">
        <f t="shared" si="8"/>
        <v>0</v>
      </c>
      <c r="P41" s="84">
        <f t="shared" si="4"/>
        <v>0</v>
      </c>
      <c r="Q41" s="199">
        <f t="shared" si="5"/>
        <v>0</v>
      </c>
      <c r="R41" s="84">
        <f t="shared" si="6"/>
        <v>0</v>
      </c>
      <c r="S41" s="84">
        <f t="shared" si="2"/>
        <v>0</v>
      </c>
    </row>
    <row r="42" spans="1:19" s="2" customFormat="1" ht="30" customHeight="1">
      <c r="A42" s="139">
        <v>18</v>
      </c>
      <c r="B42" s="158" t="s">
        <v>34</v>
      </c>
      <c r="C42" s="154">
        <v>5</v>
      </c>
      <c r="D42" s="81">
        <v>3391</v>
      </c>
      <c r="E42" s="303">
        <v>4</v>
      </c>
      <c r="F42" s="104">
        <f>D42*C42</f>
        <v>16955</v>
      </c>
      <c r="G42" s="88"/>
      <c r="H42" s="11"/>
      <c r="I42" s="60"/>
      <c r="J42" s="83">
        <f t="shared" si="7"/>
        <v>8477.5</v>
      </c>
      <c r="K42" s="83">
        <f>(D42*C42+J42)*25%</f>
        <v>6358.125</v>
      </c>
      <c r="L42" s="60"/>
      <c r="M42" s="60"/>
      <c r="N42" s="60"/>
      <c r="O42" s="84">
        <f t="shared" si="8"/>
        <v>48745.625</v>
      </c>
      <c r="P42" s="84">
        <f>F42+H42+I42+J42+K42+L42+M42+N42</f>
        <v>31790.625</v>
      </c>
      <c r="Q42" s="199"/>
      <c r="R42" s="84">
        <f t="shared" si="6"/>
        <v>31790.625</v>
      </c>
      <c r="S42" s="84">
        <f t="shared" si="2"/>
        <v>401081.121875</v>
      </c>
    </row>
    <row r="43" spans="1:19" s="2" customFormat="1" ht="15.75">
      <c r="A43" s="147">
        <v>19</v>
      </c>
      <c r="B43" s="57" t="s">
        <v>33</v>
      </c>
      <c r="C43" s="154">
        <v>1</v>
      </c>
      <c r="D43" s="57">
        <v>3631</v>
      </c>
      <c r="E43" s="200">
        <v>5</v>
      </c>
      <c r="F43" s="104">
        <f t="shared" si="0"/>
        <v>3631</v>
      </c>
      <c r="G43" s="57"/>
      <c r="H43" s="57"/>
      <c r="I43" s="57"/>
      <c r="J43" s="57">
        <f>D43*50%</f>
        <v>1815.5</v>
      </c>
      <c r="K43" s="57"/>
      <c r="L43" s="57"/>
      <c r="M43" s="57"/>
      <c r="N43" s="89"/>
      <c r="O43" s="57"/>
      <c r="P43" s="84">
        <f t="shared" si="4"/>
        <v>5446.5</v>
      </c>
      <c r="Q43" s="199">
        <f t="shared" si="5"/>
        <v>553.5</v>
      </c>
      <c r="R43" s="84">
        <f t="shared" si="6"/>
        <v>6000</v>
      </c>
      <c r="S43" s="84">
        <f t="shared" si="2"/>
        <v>76129</v>
      </c>
    </row>
    <row r="44" spans="1:20" s="2" customFormat="1" ht="19.5" customHeight="1">
      <c r="A44" s="57"/>
      <c r="B44" s="57" t="s">
        <v>15</v>
      </c>
      <c r="C44" s="89">
        <f>C16+C17+C18+C19+C20+C21+C22+C23+C24+C25+C26+C27+C28+C29+C30+C32+C33+C42+C43</f>
        <v>54.25</v>
      </c>
      <c r="D44" s="195">
        <f>D16+D17+D18*C18+D19*C19+D20*C20+D21*C21+D22*C22+D23*C23+D24*C24+D25*C25+D26*C26+D27+D28+D29+D30*C30+D32*C32+D33*C33+D34+D36+D38*C38+D41+D42*C42+D43</f>
        <v>216722.55</v>
      </c>
      <c r="E44" s="86"/>
      <c r="F44" s="89">
        <f>SUM(F16:F43)</f>
        <v>216722.55</v>
      </c>
      <c r="G44" s="89"/>
      <c r="H44" s="89">
        <f aca="true" t="shared" si="9" ref="H44:N44">SUM(H16:H43)</f>
        <v>0</v>
      </c>
      <c r="I44" s="89">
        <f t="shared" si="9"/>
        <v>0</v>
      </c>
      <c r="J44" s="89">
        <f>SUM(J16:J43)</f>
        <v>88828.025</v>
      </c>
      <c r="K44" s="89">
        <f>SUM(K16:K43)</f>
        <v>206349.2275</v>
      </c>
      <c r="L44" s="89">
        <f t="shared" si="9"/>
        <v>787.75</v>
      </c>
      <c r="M44" s="89">
        <f t="shared" si="9"/>
        <v>1645.35</v>
      </c>
      <c r="N44" s="89">
        <f t="shared" si="9"/>
        <v>10246.5</v>
      </c>
      <c r="O44" s="89"/>
      <c r="P44" s="89">
        <f>SUM(P16:P43)</f>
        <v>524579.4024999999</v>
      </c>
      <c r="Q44" s="89">
        <f>SUM(Q16:Q43)</f>
        <v>40987</v>
      </c>
      <c r="R44" s="89">
        <f>SUM(R16:R43)</f>
        <v>565566.4024999999</v>
      </c>
      <c r="S44" s="89">
        <f>SUM(S16:S43)</f>
        <v>6877625.3914075</v>
      </c>
      <c r="T44" s="4"/>
    </row>
    <row r="45" spans="1:19" s="2" customFormat="1" ht="15.75">
      <c r="A45" s="56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90"/>
      <c r="Q45" s="90"/>
      <c r="R45" s="90"/>
      <c r="S45" s="90"/>
    </row>
    <row r="46" spans="1:19" s="2" customFormat="1" ht="15.75">
      <c r="A46" s="56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s="2" customFormat="1" ht="15.75">
      <c r="A47" s="56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s="2" customFormat="1" ht="37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22" s="2" customFormat="1" ht="15.75">
      <c r="A49" s="165"/>
      <c r="B49" s="168"/>
      <c r="C49" s="168"/>
      <c r="D49" s="169" t="s">
        <v>97</v>
      </c>
      <c r="E49" s="170"/>
      <c r="F49" s="171"/>
      <c r="G49" s="172"/>
      <c r="H49" s="172"/>
      <c r="I49" s="172"/>
      <c r="J49" s="172"/>
      <c r="K49" s="172" t="s">
        <v>103</v>
      </c>
      <c r="L49" s="172"/>
      <c r="M49" s="172"/>
      <c r="N49" s="166"/>
      <c r="O49" s="166"/>
      <c r="P49" s="166"/>
      <c r="Q49" s="166"/>
      <c r="R49" s="166"/>
      <c r="S49" s="167"/>
      <c r="T49" s="167"/>
      <c r="U49" s="167"/>
      <c r="V49" s="167"/>
    </row>
    <row r="50" spans="1:19" s="2" customFormat="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s="2" customFormat="1" ht="3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63"/>
      <c r="N51" s="63"/>
      <c r="O51" s="63"/>
      <c r="P51" s="63"/>
      <c r="Q51" s="1"/>
      <c r="R51" s="1"/>
      <c r="S51" s="1"/>
    </row>
    <row r="52" spans="1:19" s="2" customFormat="1" ht="14.25" customHeight="1">
      <c r="A52" s="61"/>
      <c r="B52" s="61"/>
      <c r="C52" s="67"/>
      <c r="D52" s="67"/>
      <c r="E52" s="67"/>
      <c r="F52" s="67"/>
      <c r="G52" s="67"/>
      <c r="H52" s="67"/>
      <c r="I52" s="67"/>
      <c r="J52" s="67"/>
      <c r="K52" s="66"/>
      <c r="L52" s="66"/>
      <c r="M52" s="63"/>
      <c r="N52" s="63"/>
      <c r="O52" s="63"/>
      <c r="P52" s="63"/>
      <c r="Q52" s="61"/>
      <c r="R52" s="61"/>
      <c r="S52" s="61"/>
    </row>
    <row r="53" spans="1:19" s="2" customFormat="1" ht="18.75">
      <c r="A53" s="6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63"/>
      <c r="N53" s="63"/>
      <c r="O53" s="63"/>
      <c r="P53" s="63"/>
      <c r="Q53" s="66"/>
      <c r="R53" s="66"/>
      <c r="S53" s="66"/>
    </row>
    <row r="54" spans="1:19" s="2" customFormat="1" ht="15.75">
      <c r="A54" s="61"/>
      <c r="B54" s="61"/>
      <c r="C54" s="62"/>
      <c r="D54" s="61"/>
      <c r="E54" s="61"/>
      <c r="F54" s="61"/>
      <c r="G54" s="61"/>
      <c r="H54" s="61"/>
      <c r="I54" s="61"/>
      <c r="J54" s="62"/>
      <c r="K54" s="61"/>
      <c r="L54" s="61"/>
      <c r="M54" s="61"/>
      <c r="N54" s="61"/>
      <c r="O54" s="61"/>
      <c r="P54" s="61"/>
      <c r="Q54" s="61"/>
      <c r="R54" s="61"/>
      <c r="S54" s="61"/>
    </row>
    <row r="55" spans="1:19" s="2" customFormat="1" ht="15.75">
      <c r="A55" s="61"/>
      <c r="B55" s="61"/>
      <c r="C55" s="62"/>
      <c r="D55" s="61"/>
      <c r="E55" s="61"/>
      <c r="F55" s="61"/>
      <c r="G55" s="61"/>
      <c r="H55" s="61"/>
      <c r="I55" s="61"/>
      <c r="J55" s="62"/>
      <c r="K55" s="61"/>
      <c r="L55" s="61"/>
      <c r="M55" s="61"/>
      <c r="N55" s="61"/>
      <c r="O55" s="61"/>
      <c r="P55" s="61"/>
      <c r="Q55" s="61"/>
      <c r="R55" s="61"/>
      <c r="S55" s="61"/>
    </row>
    <row r="56" spans="1:19" s="2" customFormat="1" ht="1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</row>
    <row r="57" spans="1:19" s="2" customFormat="1" ht="15">
      <c r="A57" s="61"/>
      <c r="B57" s="113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="2" customFormat="1" ht="15">
      <c r="B58" s="64"/>
    </row>
    <row r="59" spans="1:19" s="2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="3" customFormat="1" ht="15"/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3:10" s="2" customFormat="1" ht="15.75">
      <c r="C62" s="5"/>
      <c r="J62" s="5"/>
    </row>
    <row r="63" spans="1:19" s="2" customFormat="1" ht="15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</row>
    <row r="64" s="2" customFormat="1" ht="15"/>
    <row r="65" s="2" customFormat="1" ht="15">
      <c r="B65" s="64"/>
    </row>
    <row r="66" s="2" customFormat="1" ht="15">
      <c r="A66" s="3"/>
    </row>
    <row r="67" s="2" customFormat="1" ht="15">
      <c r="A67" s="3"/>
    </row>
    <row r="68" s="2" customFormat="1" ht="15">
      <c r="A68" s="3"/>
    </row>
    <row r="69" s="2" customFormat="1" ht="15">
      <c r="A69" s="3"/>
    </row>
    <row r="70" s="2" customFormat="1" ht="15">
      <c r="A70" s="3"/>
    </row>
    <row r="71" spans="1:19" s="2" customFormat="1" ht="20.25" hidden="1">
      <c r="A71" s="63"/>
      <c r="B71" s="61"/>
      <c r="C71" s="61"/>
      <c r="D71" s="61"/>
      <c r="E71" s="61"/>
      <c r="F71" s="61"/>
      <c r="G71" s="61"/>
      <c r="H71" s="65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s="2" customFormat="1" ht="15.75" hidden="1">
      <c r="A72" s="63"/>
      <c r="B72" s="61"/>
      <c r="C72" s="61"/>
      <c r="D72" s="61"/>
      <c r="E72" s="61"/>
      <c r="F72" s="61"/>
      <c r="G72" s="61"/>
      <c r="H72" s="61"/>
      <c r="I72" s="61"/>
      <c r="J72" s="61"/>
      <c r="K72" s="62" t="s">
        <v>99</v>
      </c>
      <c r="L72" s="62"/>
      <c r="M72" s="61"/>
      <c r="N72" s="61"/>
      <c r="O72" s="61"/>
      <c r="P72" s="61"/>
      <c r="Q72" s="61"/>
      <c r="R72" s="61"/>
      <c r="S72" s="61"/>
    </row>
    <row r="73" spans="1:19" s="2" customFormat="1" ht="31.5" customHeight="1" hidden="1">
      <c r="A73" s="56"/>
      <c r="B73" s="62"/>
      <c r="C73" s="62"/>
      <c r="D73" s="62"/>
      <c r="E73" s="62"/>
      <c r="F73" s="62"/>
      <c r="G73" s="62"/>
      <c r="H73" s="62"/>
      <c r="I73" s="62"/>
      <c r="J73" s="206" t="s">
        <v>94</v>
      </c>
      <c r="K73" s="206"/>
      <c r="L73" s="206"/>
      <c r="M73" s="206"/>
      <c r="N73" s="206"/>
      <c r="O73" s="206"/>
      <c r="P73" s="206"/>
      <c r="Q73" s="62"/>
      <c r="R73" s="62"/>
      <c r="S73" s="62"/>
    </row>
    <row r="74" spans="1:19" s="2" customFormat="1" ht="15.75" hidden="1">
      <c r="A74" s="56"/>
      <c r="B74" s="62"/>
      <c r="C74" s="62"/>
      <c r="D74" s="62"/>
      <c r="E74" s="62"/>
      <c r="F74" s="62"/>
      <c r="G74" s="62"/>
      <c r="H74" s="62"/>
      <c r="I74" s="62"/>
      <c r="J74" s="62" t="s">
        <v>88</v>
      </c>
      <c r="K74" s="62"/>
      <c r="L74" s="62"/>
      <c r="M74" s="62"/>
      <c r="N74" s="62"/>
      <c r="O74" s="62"/>
      <c r="P74" s="62"/>
      <c r="Q74" s="62"/>
      <c r="R74" s="62"/>
      <c r="S74" s="62"/>
    </row>
    <row r="75" spans="1:19" s="2" customFormat="1" ht="15.75" hidden="1">
      <c r="A75" s="56"/>
      <c r="B75" s="62"/>
      <c r="C75" s="62"/>
      <c r="D75" s="62"/>
      <c r="E75" s="62"/>
      <c r="F75" s="62"/>
      <c r="G75" s="62"/>
      <c r="H75" s="62"/>
      <c r="I75" s="62"/>
      <c r="J75" s="62" t="s">
        <v>95</v>
      </c>
      <c r="K75" s="62"/>
      <c r="L75" s="62"/>
      <c r="M75" s="62"/>
      <c r="N75" s="62"/>
      <c r="O75" s="62"/>
      <c r="P75" s="67"/>
      <c r="Q75" s="67"/>
      <c r="R75" s="67"/>
      <c r="S75" s="67"/>
    </row>
    <row r="76" spans="1:19" s="2" customFormat="1" ht="15.75" hidden="1">
      <c r="A76" s="56"/>
      <c r="B76" s="245" t="s">
        <v>86</v>
      </c>
      <c r="C76" s="245"/>
      <c r="D76" s="245"/>
      <c r="E76" s="245"/>
      <c r="F76" s="245"/>
      <c r="G76" s="245"/>
      <c r="H76" s="245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s="2" customFormat="1" ht="18.75" hidden="1">
      <c r="A77" s="56"/>
      <c r="B77" s="284" t="s">
        <v>29</v>
      </c>
      <c r="C77" s="284"/>
      <c r="D77" s="284"/>
      <c r="E77" s="284"/>
      <c r="F77" s="284"/>
      <c r="G77" s="284"/>
      <c r="H77" s="284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s="2" customFormat="1" ht="15.75" hidden="1">
      <c r="A78" s="56"/>
      <c r="B78" s="278" t="s">
        <v>16</v>
      </c>
      <c r="C78" s="278"/>
      <c r="D78" s="278"/>
      <c r="E78" s="278"/>
      <c r="F78" s="278"/>
      <c r="G78" s="278"/>
      <c r="H78" s="278"/>
      <c r="I78" s="278"/>
      <c r="J78" s="56"/>
      <c r="K78" s="56"/>
      <c r="L78" s="56"/>
      <c r="M78" s="56"/>
      <c r="N78" s="56"/>
      <c r="O78" s="56"/>
      <c r="P78" s="56"/>
      <c r="Q78" s="56"/>
      <c r="R78" s="56"/>
      <c r="S78" s="62"/>
    </row>
    <row r="79" spans="1:19" s="2" customFormat="1" ht="15.75" hidden="1">
      <c r="A79" s="56"/>
      <c r="B79" s="62"/>
      <c r="C79" s="62"/>
      <c r="D79" s="62"/>
      <c r="E79" s="62"/>
      <c r="F79" s="62"/>
      <c r="G79" s="62"/>
      <c r="H79" s="62"/>
      <c r="I79" s="62"/>
      <c r="J79" s="56"/>
      <c r="K79" s="56"/>
      <c r="L79" s="56"/>
      <c r="M79" s="56"/>
      <c r="N79" s="56"/>
      <c r="O79" s="56"/>
      <c r="P79" s="56"/>
      <c r="Q79" s="56"/>
      <c r="R79" s="56"/>
      <c r="S79" s="62"/>
    </row>
    <row r="80" spans="1:19" s="2" customFormat="1" ht="15.75" hidden="1">
      <c r="A80" s="56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2" customFormat="1" ht="15.75" hidden="1">
      <c r="A81" s="56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2" customFormat="1" ht="12.75" customHeight="1" hidden="1">
      <c r="A82" s="279" t="s">
        <v>1</v>
      </c>
      <c r="B82" s="68" t="s">
        <v>2</v>
      </c>
      <c r="C82" s="116" t="s">
        <v>4</v>
      </c>
      <c r="D82" s="236" t="s">
        <v>75</v>
      </c>
      <c r="E82" s="236" t="s">
        <v>76</v>
      </c>
      <c r="F82" s="238" t="s">
        <v>7</v>
      </c>
      <c r="G82" s="239"/>
      <c r="H82" s="239"/>
      <c r="I82" s="239"/>
      <c r="J82" s="239"/>
      <c r="K82" s="281" t="s">
        <v>36</v>
      </c>
      <c r="L82" s="174"/>
      <c r="M82" s="239" t="s">
        <v>8</v>
      </c>
      <c r="N82" s="239"/>
      <c r="O82" s="240"/>
      <c r="P82" s="68" t="s">
        <v>10</v>
      </c>
      <c r="Q82" s="241" t="s">
        <v>78</v>
      </c>
      <c r="R82" s="221" t="s">
        <v>79</v>
      </c>
      <c r="S82" s="69" t="s">
        <v>13</v>
      </c>
    </row>
    <row r="83" spans="1:19" s="2" customFormat="1" ht="18" customHeight="1" hidden="1">
      <c r="A83" s="280"/>
      <c r="B83" s="73" t="s">
        <v>3</v>
      </c>
      <c r="C83" s="117" t="s">
        <v>5</v>
      </c>
      <c r="D83" s="236"/>
      <c r="E83" s="236"/>
      <c r="F83" s="203"/>
      <c r="G83" s="96"/>
      <c r="H83" s="203" t="s">
        <v>9</v>
      </c>
      <c r="I83" s="203"/>
      <c r="J83" s="224">
        <v>0.5</v>
      </c>
      <c r="K83" s="282"/>
      <c r="L83" s="175"/>
      <c r="M83" s="225" t="s">
        <v>87</v>
      </c>
      <c r="N83" s="225" t="s">
        <v>49</v>
      </c>
      <c r="O83" s="233"/>
      <c r="P83" s="73" t="s">
        <v>11</v>
      </c>
      <c r="Q83" s="242"/>
      <c r="R83" s="222"/>
      <c r="S83" s="74" t="s">
        <v>11</v>
      </c>
    </row>
    <row r="84" spans="1:19" s="2" customFormat="1" ht="15.75" hidden="1">
      <c r="A84" s="280"/>
      <c r="B84" s="73"/>
      <c r="C84" s="117" t="s">
        <v>6</v>
      </c>
      <c r="D84" s="236"/>
      <c r="E84" s="236"/>
      <c r="F84" s="204"/>
      <c r="G84" s="97"/>
      <c r="H84" s="204"/>
      <c r="I84" s="204"/>
      <c r="J84" s="204"/>
      <c r="K84" s="282"/>
      <c r="L84" s="175"/>
      <c r="M84" s="226"/>
      <c r="N84" s="226"/>
      <c r="O84" s="226"/>
      <c r="P84" s="98" t="s">
        <v>12</v>
      </c>
      <c r="Q84" s="242"/>
      <c r="R84" s="222"/>
      <c r="S84" s="74" t="s">
        <v>14</v>
      </c>
    </row>
    <row r="85" spans="1:19" s="2" customFormat="1" ht="15.75" hidden="1">
      <c r="A85" s="103"/>
      <c r="B85" s="73"/>
      <c r="C85" s="73"/>
      <c r="D85" s="236"/>
      <c r="E85" s="236"/>
      <c r="F85" s="204"/>
      <c r="G85" s="97"/>
      <c r="H85" s="204"/>
      <c r="I85" s="204"/>
      <c r="J85" s="204"/>
      <c r="K85" s="282"/>
      <c r="L85" s="175"/>
      <c r="M85" s="226"/>
      <c r="N85" s="226"/>
      <c r="O85" s="226"/>
      <c r="P85" s="98" t="s">
        <v>50</v>
      </c>
      <c r="Q85" s="242"/>
      <c r="R85" s="222"/>
      <c r="S85" s="74" t="s">
        <v>50</v>
      </c>
    </row>
    <row r="86" spans="1:19" s="2" customFormat="1" ht="87.75" customHeight="1" hidden="1">
      <c r="A86" s="79"/>
      <c r="B86" s="77"/>
      <c r="C86" s="77"/>
      <c r="D86" s="236"/>
      <c r="E86" s="236"/>
      <c r="F86" s="205"/>
      <c r="G86" s="99"/>
      <c r="H86" s="205"/>
      <c r="I86" s="205"/>
      <c r="J86" s="205"/>
      <c r="K86" s="283"/>
      <c r="L86" s="176"/>
      <c r="M86" s="227"/>
      <c r="N86" s="227"/>
      <c r="O86" s="227"/>
      <c r="P86" s="76"/>
      <c r="Q86" s="243"/>
      <c r="R86" s="223"/>
      <c r="S86" s="78"/>
    </row>
    <row r="87" spans="1:19" s="2" customFormat="1" ht="31.5" hidden="1">
      <c r="A87" s="136">
        <v>1</v>
      </c>
      <c r="B87" s="183" t="s">
        <v>77</v>
      </c>
      <c r="C87" s="184">
        <v>1</v>
      </c>
      <c r="D87" s="185">
        <v>3207</v>
      </c>
      <c r="E87" s="120">
        <v>10</v>
      </c>
      <c r="F87" s="186"/>
      <c r="G87" s="186"/>
      <c r="H87" s="186"/>
      <c r="I87" s="186"/>
      <c r="J87" s="187">
        <f>D87*0.5</f>
        <v>1603.5</v>
      </c>
      <c r="K87" s="187">
        <f>(D87+J87)*100%</f>
        <v>4810.5</v>
      </c>
      <c r="L87" s="187"/>
      <c r="M87" s="186"/>
      <c r="N87" s="186"/>
      <c r="O87" s="186"/>
      <c r="P87" s="128">
        <f>D87*C87+F87+H87+I87+J87+K87+M87+N87+O87</f>
        <v>9621</v>
      </c>
      <c r="Q87" s="85"/>
      <c r="R87" s="84">
        <f>P87+Q87</f>
        <v>9621</v>
      </c>
      <c r="S87" s="84">
        <f>R87*12</f>
        <v>115452</v>
      </c>
    </row>
    <row r="88" spans="1:19" s="2" customFormat="1" ht="15.75" hidden="1">
      <c r="A88" s="136">
        <v>2</v>
      </c>
      <c r="B88" s="179" t="s">
        <v>91</v>
      </c>
      <c r="C88" s="188">
        <v>1</v>
      </c>
      <c r="D88" s="118">
        <v>3048</v>
      </c>
      <c r="E88" s="120">
        <v>9</v>
      </c>
      <c r="F88" s="121"/>
      <c r="G88" s="121"/>
      <c r="H88" s="121"/>
      <c r="I88" s="121"/>
      <c r="J88" s="187">
        <f>D88*0.5</f>
        <v>1524</v>
      </c>
      <c r="K88" s="187">
        <f>(D88+J88)*100%</f>
        <v>4572</v>
      </c>
      <c r="L88" s="187"/>
      <c r="M88" s="121"/>
      <c r="N88" s="121"/>
      <c r="O88" s="121"/>
      <c r="P88" s="128">
        <f aca="true" t="shared" si="10" ref="P88:P95">D88*C88+F88+H88+I88+J88+K88+M88+N88+O88</f>
        <v>9144</v>
      </c>
      <c r="Q88" s="85"/>
      <c r="R88" s="84">
        <f aca="true" t="shared" si="11" ref="R88:R109">P88+Q88</f>
        <v>9144</v>
      </c>
      <c r="S88" s="84">
        <f aca="true" t="shared" si="12" ref="S88:S104">R88*12</f>
        <v>109728</v>
      </c>
    </row>
    <row r="89" spans="1:19" s="2" customFormat="1" ht="30.75" customHeight="1" hidden="1">
      <c r="A89" s="136">
        <v>3</v>
      </c>
      <c r="B89" s="123" t="s">
        <v>39</v>
      </c>
      <c r="C89" s="122">
        <v>1</v>
      </c>
      <c r="D89" s="118">
        <v>3048</v>
      </c>
      <c r="E89" s="120">
        <v>9</v>
      </c>
      <c r="F89" s="122"/>
      <c r="G89" s="122"/>
      <c r="H89" s="122"/>
      <c r="I89" s="122"/>
      <c r="J89" s="187">
        <f>D89*0.5</f>
        <v>1524</v>
      </c>
      <c r="K89" s="187">
        <f>(D89+J89)*100%</f>
        <v>4572</v>
      </c>
      <c r="L89" s="187"/>
      <c r="M89" s="122"/>
      <c r="N89" s="121"/>
      <c r="O89" s="122"/>
      <c r="P89" s="128">
        <f>D89*C89+F89+H89+I89+J89+K89+M89+N89+O89</f>
        <v>9144</v>
      </c>
      <c r="Q89" s="85"/>
      <c r="R89" s="84">
        <f t="shared" si="11"/>
        <v>9144</v>
      </c>
      <c r="S89" s="84">
        <f t="shared" si="12"/>
        <v>109728</v>
      </c>
    </row>
    <row r="90" spans="1:19" s="2" customFormat="1" ht="15.75" hidden="1">
      <c r="A90" s="136"/>
      <c r="B90" s="106"/>
      <c r="C90" s="57"/>
      <c r="D90" s="105"/>
      <c r="E90" s="82"/>
      <c r="F90" s="57"/>
      <c r="G90" s="57"/>
      <c r="H90" s="57"/>
      <c r="I90" s="57"/>
      <c r="J90" s="83">
        <f>D90*C90*50%</f>
        <v>0</v>
      </c>
      <c r="K90" s="60">
        <f>(D90*C90+J90)*50%</f>
        <v>0</v>
      </c>
      <c r="L90" s="60"/>
      <c r="M90" s="57"/>
      <c r="N90" s="104"/>
      <c r="O90" s="57"/>
      <c r="P90" s="84">
        <f t="shared" si="10"/>
        <v>0</v>
      </c>
      <c r="Q90" s="85"/>
      <c r="R90" s="84">
        <f t="shared" si="11"/>
        <v>0</v>
      </c>
      <c r="S90" s="84">
        <f t="shared" si="12"/>
        <v>0</v>
      </c>
    </row>
    <row r="91" spans="1:19" s="2" customFormat="1" ht="31.5" customHeight="1" hidden="1">
      <c r="A91" s="136">
        <v>4</v>
      </c>
      <c r="B91" s="123" t="s">
        <v>40</v>
      </c>
      <c r="C91" s="122">
        <v>2</v>
      </c>
      <c r="D91" s="118">
        <v>3207</v>
      </c>
      <c r="E91" s="120">
        <v>10</v>
      </c>
      <c r="F91" s="122"/>
      <c r="G91" s="122"/>
      <c r="H91" s="122"/>
      <c r="I91" s="122"/>
      <c r="J91" s="187">
        <f>D91*C91*50%</f>
        <v>3207</v>
      </c>
      <c r="K91" s="119">
        <f>(D91*C91+J91)*100%</f>
        <v>9621</v>
      </c>
      <c r="L91" s="119"/>
      <c r="M91" s="122"/>
      <c r="N91" s="121"/>
      <c r="O91" s="122"/>
      <c r="P91" s="128">
        <f t="shared" si="10"/>
        <v>19242</v>
      </c>
      <c r="Q91" s="85"/>
      <c r="R91" s="84">
        <f t="shared" si="11"/>
        <v>19242</v>
      </c>
      <c r="S91" s="84">
        <f t="shared" si="12"/>
        <v>230904</v>
      </c>
    </row>
    <row r="92" spans="1:19" s="2" customFormat="1" ht="15.75" hidden="1">
      <c r="A92" s="136">
        <v>6</v>
      </c>
      <c r="B92" s="123"/>
      <c r="C92" s="122"/>
      <c r="D92" s="118"/>
      <c r="E92" s="120"/>
      <c r="F92" s="122"/>
      <c r="G92" s="122"/>
      <c r="H92" s="122"/>
      <c r="I92" s="122"/>
      <c r="J92" s="119"/>
      <c r="K92" s="119"/>
      <c r="L92" s="119"/>
      <c r="M92" s="122"/>
      <c r="N92" s="121"/>
      <c r="O92" s="122"/>
      <c r="P92" s="128"/>
      <c r="Q92" s="145"/>
      <c r="R92" s="128"/>
      <c r="S92" s="84">
        <f t="shared" si="12"/>
        <v>0</v>
      </c>
    </row>
    <row r="93" spans="1:19" s="2" customFormat="1" ht="27.75" customHeight="1" hidden="1">
      <c r="A93" s="137">
        <v>7</v>
      </c>
      <c r="B93" s="157"/>
      <c r="C93" s="122"/>
      <c r="D93" s="124"/>
      <c r="E93" s="120"/>
      <c r="F93" s="122"/>
      <c r="G93" s="122"/>
      <c r="H93" s="122"/>
      <c r="I93" s="122"/>
      <c r="J93" s="119"/>
      <c r="K93" s="119"/>
      <c r="L93" s="119"/>
      <c r="M93" s="122"/>
      <c r="N93" s="121"/>
      <c r="O93" s="122"/>
      <c r="P93" s="128"/>
      <c r="Q93" s="145"/>
      <c r="R93" s="128"/>
      <c r="S93" s="84">
        <f t="shared" si="12"/>
        <v>0</v>
      </c>
    </row>
    <row r="94" spans="1:19" s="2" customFormat="1" ht="29.25" customHeight="1" hidden="1">
      <c r="A94" s="138">
        <v>5</v>
      </c>
      <c r="B94" s="123" t="s">
        <v>25</v>
      </c>
      <c r="C94" s="122">
        <v>2</v>
      </c>
      <c r="D94" s="124">
        <v>2713</v>
      </c>
      <c r="E94" s="120">
        <v>7</v>
      </c>
      <c r="F94" s="122"/>
      <c r="G94" s="122"/>
      <c r="H94" s="122"/>
      <c r="I94" s="122"/>
      <c r="J94" s="119">
        <f>D94*0.5*C94</f>
        <v>2713</v>
      </c>
      <c r="K94" s="119">
        <f>(D94*C94+J94)*70%</f>
        <v>5697.299999999999</v>
      </c>
      <c r="L94" s="119"/>
      <c r="M94" s="122"/>
      <c r="N94" s="121"/>
      <c r="O94" s="122"/>
      <c r="P94" s="128">
        <f t="shared" si="10"/>
        <v>13836.3</v>
      </c>
      <c r="Q94" s="85"/>
      <c r="R94" s="84">
        <f t="shared" si="11"/>
        <v>13836.3</v>
      </c>
      <c r="S94" s="84">
        <f t="shared" si="12"/>
        <v>166035.59999999998</v>
      </c>
    </row>
    <row r="95" spans="1:19" s="2" customFormat="1" ht="32.25" customHeight="1" hidden="1">
      <c r="A95" s="136">
        <v>9</v>
      </c>
      <c r="B95" s="106" t="s">
        <v>19</v>
      </c>
      <c r="C95" s="57"/>
      <c r="D95" s="81"/>
      <c r="E95" s="82">
        <v>5</v>
      </c>
      <c r="F95" s="57"/>
      <c r="G95" s="57"/>
      <c r="H95" s="57"/>
      <c r="I95" s="57"/>
      <c r="J95" s="57"/>
      <c r="K95" s="60"/>
      <c r="L95" s="60"/>
      <c r="M95" s="57"/>
      <c r="N95" s="104"/>
      <c r="O95" s="57"/>
      <c r="P95" s="84">
        <f t="shared" si="10"/>
        <v>0</v>
      </c>
      <c r="Q95" s="145">
        <f>3723*C95-(P95-M95-N95)</f>
        <v>0</v>
      </c>
      <c r="R95" s="84">
        <f t="shared" si="11"/>
        <v>0</v>
      </c>
      <c r="S95" s="84">
        <f t="shared" si="12"/>
        <v>0</v>
      </c>
    </row>
    <row r="96" spans="1:19" s="2" customFormat="1" ht="49.5" customHeight="1" hidden="1">
      <c r="A96" s="136">
        <v>6</v>
      </c>
      <c r="B96" s="123" t="s">
        <v>69</v>
      </c>
      <c r="C96" s="122">
        <v>1</v>
      </c>
      <c r="D96" s="118">
        <v>2079</v>
      </c>
      <c r="E96" s="120">
        <v>3</v>
      </c>
      <c r="F96" s="122"/>
      <c r="G96" s="122"/>
      <c r="H96" s="193">
        <f>D96*C96*0.2</f>
        <v>415.8</v>
      </c>
      <c r="I96" s="122"/>
      <c r="J96" s="119">
        <f>D96*50%</f>
        <v>1039.5</v>
      </c>
      <c r="K96" s="119"/>
      <c r="L96" s="119"/>
      <c r="M96" s="122"/>
      <c r="N96" s="121"/>
      <c r="O96" s="122"/>
      <c r="P96" s="128">
        <f>D96*C96+F96+H96+I96+J96+K96+M96+N96+O96</f>
        <v>3534.3</v>
      </c>
      <c r="Q96" s="85">
        <f aca="true" t="shared" si="13" ref="Q96:Q105">3723*C96-(P96-M96-N96)</f>
        <v>188.69999999999982</v>
      </c>
      <c r="R96" s="84">
        <f t="shared" si="11"/>
        <v>3723</v>
      </c>
      <c r="S96" s="84">
        <f t="shared" si="12"/>
        <v>44676</v>
      </c>
    </row>
    <row r="97" spans="1:19" s="2" customFormat="1" ht="15.75" customHeight="1" hidden="1">
      <c r="A97" s="136">
        <v>7</v>
      </c>
      <c r="B97" s="123" t="s">
        <v>20</v>
      </c>
      <c r="C97" s="122">
        <v>7</v>
      </c>
      <c r="D97" s="118">
        <v>1921</v>
      </c>
      <c r="E97" s="120">
        <v>2</v>
      </c>
      <c r="F97" s="122"/>
      <c r="G97" s="122"/>
      <c r="H97" s="122"/>
      <c r="I97" s="122"/>
      <c r="J97" s="122"/>
      <c r="K97" s="119"/>
      <c r="L97" s="119"/>
      <c r="M97" s="122"/>
      <c r="N97" s="189">
        <f>D97*40%*C97</f>
        <v>5378.800000000001</v>
      </c>
      <c r="O97" s="122"/>
      <c r="P97" s="128">
        <f aca="true" t="shared" si="14" ref="P97:P105">D97*C97+F97+H97+I97+J97+K97+M97+N97+O97</f>
        <v>18825.800000000003</v>
      </c>
      <c r="Q97" s="85">
        <f t="shared" si="13"/>
        <v>12613.999999999998</v>
      </c>
      <c r="R97" s="84">
        <f>P97+Q97</f>
        <v>31439.800000000003</v>
      </c>
      <c r="S97" s="84">
        <f t="shared" si="12"/>
        <v>377277.60000000003</v>
      </c>
    </row>
    <row r="98" spans="1:19" s="2" customFormat="1" ht="15.75" customHeight="1" hidden="1">
      <c r="A98" s="136">
        <v>11</v>
      </c>
      <c r="B98" s="106" t="s">
        <v>68</v>
      </c>
      <c r="C98" s="107"/>
      <c r="D98" s="81"/>
      <c r="E98" s="82">
        <v>8</v>
      </c>
      <c r="F98" s="57"/>
      <c r="G98" s="57"/>
      <c r="H98" s="57"/>
      <c r="I98" s="57"/>
      <c r="J98" s="57"/>
      <c r="K98" s="60"/>
      <c r="L98" s="60"/>
      <c r="M98" s="57"/>
      <c r="N98" s="104"/>
      <c r="O98" s="57"/>
      <c r="P98" s="84">
        <f t="shared" si="14"/>
        <v>0</v>
      </c>
      <c r="Q98" s="85">
        <f t="shared" si="13"/>
        <v>0</v>
      </c>
      <c r="R98" s="84">
        <f t="shared" si="11"/>
        <v>0</v>
      </c>
      <c r="S98" s="84">
        <f t="shared" si="12"/>
        <v>0</v>
      </c>
    </row>
    <row r="99" spans="1:19" s="2" customFormat="1" ht="36" customHeight="1" hidden="1">
      <c r="A99" s="138">
        <v>8</v>
      </c>
      <c r="B99" s="190" t="s">
        <v>68</v>
      </c>
      <c r="C99" s="131">
        <v>1</v>
      </c>
      <c r="D99" s="118">
        <v>2890</v>
      </c>
      <c r="E99" s="120">
        <v>8</v>
      </c>
      <c r="F99" s="130"/>
      <c r="G99" s="191"/>
      <c r="H99" s="130"/>
      <c r="I99" s="130"/>
      <c r="J99" s="130"/>
      <c r="K99" s="130"/>
      <c r="L99" s="130"/>
      <c r="M99" s="192"/>
      <c r="N99" s="192"/>
      <c r="O99" s="130"/>
      <c r="P99" s="119">
        <f t="shared" si="14"/>
        <v>2890</v>
      </c>
      <c r="Q99" s="58">
        <f t="shared" si="13"/>
        <v>833</v>
      </c>
      <c r="R99" s="84">
        <f t="shared" si="11"/>
        <v>3723</v>
      </c>
      <c r="S99" s="84">
        <f t="shared" si="12"/>
        <v>44676</v>
      </c>
    </row>
    <row r="100" spans="1:19" s="2" customFormat="1" ht="33" customHeight="1" hidden="1">
      <c r="A100" s="138">
        <v>9</v>
      </c>
      <c r="B100" s="190" t="s">
        <v>38</v>
      </c>
      <c r="C100" s="131">
        <v>0.25</v>
      </c>
      <c r="D100" s="118">
        <v>1921</v>
      </c>
      <c r="E100" s="120">
        <v>2</v>
      </c>
      <c r="F100" s="121"/>
      <c r="G100" s="178"/>
      <c r="H100" s="121"/>
      <c r="I100" s="121"/>
      <c r="J100" s="121"/>
      <c r="K100" s="121"/>
      <c r="L100" s="121"/>
      <c r="M100" s="187">
        <f>D100*C100*10%</f>
        <v>48.025000000000006</v>
      </c>
      <c r="N100" s="187"/>
      <c r="O100" s="121"/>
      <c r="P100" s="128">
        <f t="shared" si="14"/>
        <v>528.275</v>
      </c>
      <c r="Q100" s="85">
        <f t="shared" si="13"/>
        <v>450.5</v>
      </c>
      <c r="R100" s="84">
        <f t="shared" si="11"/>
        <v>978.775</v>
      </c>
      <c r="S100" s="84">
        <f t="shared" si="12"/>
        <v>11745.3</v>
      </c>
    </row>
    <row r="101" spans="1:19" s="2" customFormat="1" ht="15.75" customHeight="1" hidden="1">
      <c r="A101" s="138"/>
      <c r="B101" s="123"/>
      <c r="C101" s="122"/>
      <c r="D101" s="118"/>
      <c r="E101" s="129"/>
      <c r="F101" s="122"/>
      <c r="G101" s="122"/>
      <c r="H101" s="122"/>
      <c r="I101" s="207"/>
      <c r="J101" s="122"/>
      <c r="K101" s="119"/>
      <c r="L101" s="119"/>
      <c r="M101" s="122"/>
      <c r="N101" s="207"/>
      <c r="O101" s="122"/>
      <c r="P101" s="84">
        <f t="shared" si="14"/>
        <v>0</v>
      </c>
      <c r="Q101" s="85">
        <f t="shared" si="13"/>
        <v>0</v>
      </c>
      <c r="R101" s="84">
        <f t="shared" si="11"/>
        <v>0</v>
      </c>
      <c r="S101" s="84">
        <f t="shared" si="12"/>
        <v>0</v>
      </c>
    </row>
    <row r="102" spans="1:19" s="2" customFormat="1" ht="31.5" customHeight="1" hidden="1">
      <c r="A102" s="270">
        <v>13</v>
      </c>
      <c r="B102" s="273" t="s">
        <v>67</v>
      </c>
      <c r="C102" s="122"/>
      <c r="D102" s="118"/>
      <c r="E102" s="120"/>
      <c r="F102" s="122"/>
      <c r="G102" s="122"/>
      <c r="H102" s="122"/>
      <c r="I102" s="208"/>
      <c r="J102" s="122"/>
      <c r="K102" s="119"/>
      <c r="L102" s="119"/>
      <c r="M102" s="122"/>
      <c r="N102" s="208"/>
      <c r="O102" s="122"/>
      <c r="P102" s="84">
        <f t="shared" si="14"/>
        <v>0</v>
      </c>
      <c r="Q102" s="85">
        <f t="shared" si="13"/>
        <v>0</v>
      </c>
      <c r="R102" s="84">
        <f t="shared" si="11"/>
        <v>0</v>
      </c>
      <c r="S102" s="84">
        <f t="shared" si="12"/>
        <v>0</v>
      </c>
    </row>
    <row r="103" spans="1:19" s="2" customFormat="1" ht="48.75" customHeight="1" hidden="1">
      <c r="A103" s="271"/>
      <c r="B103" s="274"/>
      <c r="C103" s="122"/>
      <c r="D103" s="118"/>
      <c r="E103" s="120"/>
      <c r="F103" s="122"/>
      <c r="G103" s="122"/>
      <c r="H103" s="122"/>
      <c r="I103" s="130"/>
      <c r="J103" s="122"/>
      <c r="K103" s="119"/>
      <c r="L103" s="119"/>
      <c r="M103" s="122"/>
      <c r="N103" s="131"/>
      <c r="O103" s="122"/>
      <c r="P103" s="84">
        <f t="shared" si="14"/>
        <v>0</v>
      </c>
      <c r="Q103" s="85">
        <f t="shared" si="13"/>
        <v>0</v>
      </c>
      <c r="R103" s="84">
        <f t="shared" si="11"/>
        <v>0</v>
      </c>
      <c r="S103" s="84">
        <f t="shared" si="12"/>
        <v>0</v>
      </c>
    </row>
    <row r="104" spans="1:19" s="2" customFormat="1" ht="20.25" customHeight="1" hidden="1">
      <c r="A104" s="272"/>
      <c r="B104" s="275"/>
      <c r="C104" s="122"/>
      <c r="D104" s="118"/>
      <c r="E104" s="120"/>
      <c r="F104" s="122"/>
      <c r="G104" s="122"/>
      <c r="H104" s="122"/>
      <c r="I104" s="130"/>
      <c r="J104" s="122"/>
      <c r="K104" s="119"/>
      <c r="L104" s="119"/>
      <c r="M104" s="122"/>
      <c r="N104" s="131"/>
      <c r="O104" s="122"/>
      <c r="P104" s="84">
        <f t="shared" si="14"/>
        <v>0</v>
      </c>
      <c r="Q104" s="85">
        <f t="shared" si="13"/>
        <v>0</v>
      </c>
      <c r="R104" s="84">
        <f t="shared" si="11"/>
        <v>0</v>
      </c>
      <c r="S104" s="84">
        <f t="shared" si="12"/>
        <v>0</v>
      </c>
    </row>
    <row r="105" spans="1:19" s="2" customFormat="1" ht="31.5" hidden="1">
      <c r="A105" s="138">
        <v>10</v>
      </c>
      <c r="B105" s="123" t="s">
        <v>92</v>
      </c>
      <c r="C105" s="122">
        <v>4</v>
      </c>
      <c r="D105" s="118">
        <v>1762</v>
      </c>
      <c r="E105" s="120">
        <v>1</v>
      </c>
      <c r="F105" s="122"/>
      <c r="G105" s="122"/>
      <c r="H105" s="122"/>
      <c r="I105" s="122"/>
      <c r="J105" s="122"/>
      <c r="K105" s="119"/>
      <c r="L105" s="119"/>
      <c r="M105" s="122">
        <f>D105*C105*12%</f>
        <v>845.76</v>
      </c>
      <c r="N105" s="131">
        <f>D105*C105*40%</f>
        <v>2819.2000000000003</v>
      </c>
      <c r="O105" s="122"/>
      <c r="P105" s="128">
        <f t="shared" si="14"/>
        <v>10712.960000000001</v>
      </c>
      <c r="Q105" s="85">
        <f t="shared" si="13"/>
        <v>7844</v>
      </c>
      <c r="R105" s="84">
        <f t="shared" si="11"/>
        <v>18556.96</v>
      </c>
      <c r="S105" s="84">
        <f>R105*6</f>
        <v>111341.76</v>
      </c>
    </row>
    <row r="106" spans="1:19" s="2" customFormat="1" ht="15.75" hidden="1">
      <c r="A106" s="138">
        <v>15</v>
      </c>
      <c r="B106" s="122" t="s">
        <v>80</v>
      </c>
      <c r="C106" s="122"/>
      <c r="D106" s="118"/>
      <c r="E106" s="120"/>
      <c r="F106" s="122"/>
      <c r="G106" s="122"/>
      <c r="H106" s="122"/>
      <c r="I106" s="122"/>
      <c r="J106" s="122"/>
      <c r="K106" s="119"/>
      <c r="L106" s="119"/>
      <c r="M106" s="122"/>
      <c r="N106" s="148"/>
      <c r="O106" s="122"/>
      <c r="P106" s="128"/>
      <c r="Q106" s="145"/>
      <c r="R106" s="128"/>
      <c r="S106" s="128"/>
    </row>
    <row r="107" spans="1:19" s="2" customFormat="1" ht="15.75" hidden="1">
      <c r="A107" s="138"/>
      <c r="B107" s="57"/>
      <c r="C107" s="57"/>
      <c r="D107" s="86"/>
      <c r="E107" s="110"/>
      <c r="F107" s="57"/>
      <c r="G107" s="57"/>
      <c r="H107" s="57"/>
      <c r="I107" s="57"/>
      <c r="J107" s="57"/>
      <c r="K107" s="60"/>
      <c r="L107" s="60"/>
      <c r="M107" s="57"/>
      <c r="N107" s="108"/>
      <c r="O107" s="57"/>
      <c r="P107" s="84">
        <f>D107*C107+F107+H107+I107+J107+K107+M107+N107+O107</f>
        <v>0</v>
      </c>
      <c r="Q107" s="85">
        <f>3723*C107-(P107-M107-N107)</f>
        <v>0</v>
      </c>
      <c r="R107" s="84">
        <f t="shared" si="11"/>
        <v>0</v>
      </c>
      <c r="S107" s="84">
        <f>P107*12</f>
        <v>0</v>
      </c>
    </row>
    <row r="108" spans="1:20" s="2" customFormat="1" ht="45.75" customHeight="1" hidden="1">
      <c r="A108" s="138">
        <v>16</v>
      </c>
      <c r="B108" s="123" t="s">
        <v>81</v>
      </c>
      <c r="C108" s="122"/>
      <c r="D108" s="118"/>
      <c r="E108" s="120"/>
      <c r="F108" s="122"/>
      <c r="G108" s="122"/>
      <c r="H108" s="122"/>
      <c r="I108" s="122"/>
      <c r="J108" s="122"/>
      <c r="K108" s="119"/>
      <c r="L108" s="119"/>
      <c r="M108" s="122"/>
      <c r="N108" s="148"/>
      <c r="O108" s="122"/>
      <c r="P108" s="128"/>
      <c r="Q108" s="145"/>
      <c r="R108" s="128"/>
      <c r="S108" s="128"/>
      <c r="T108" s="4">
        <f>D112+D304+F304+J112</f>
        <v>51650.25</v>
      </c>
    </row>
    <row r="109" spans="1:19" s="2" customFormat="1" ht="67.5" customHeight="1" hidden="1">
      <c r="A109" s="101">
        <v>17</v>
      </c>
      <c r="B109" s="106" t="s">
        <v>41</v>
      </c>
      <c r="C109" s="57"/>
      <c r="D109" s="81"/>
      <c r="E109" s="82">
        <v>5</v>
      </c>
      <c r="F109" s="57"/>
      <c r="G109" s="57"/>
      <c r="H109" s="57"/>
      <c r="I109" s="57"/>
      <c r="J109" s="60">
        <f>D109*50%</f>
        <v>0</v>
      </c>
      <c r="K109" s="60"/>
      <c r="L109" s="60"/>
      <c r="M109" s="57"/>
      <c r="N109" s="108"/>
      <c r="O109" s="57"/>
      <c r="P109" s="84">
        <f>D109*C109+F109+H109+I109+J109+K109+M109+N109+O109</f>
        <v>0</v>
      </c>
      <c r="Q109" s="85"/>
      <c r="R109" s="84">
        <f t="shared" si="11"/>
        <v>0</v>
      </c>
      <c r="S109" s="84">
        <f>P109*12</f>
        <v>0</v>
      </c>
    </row>
    <row r="110" spans="1:20" s="2" customFormat="1" ht="15.75" hidden="1">
      <c r="A110" s="70"/>
      <c r="B110" s="57"/>
      <c r="C110" s="57"/>
      <c r="D110" s="86"/>
      <c r="E110" s="86"/>
      <c r="F110" s="57"/>
      <c r="G110" s="57"/>
      <c r="H110" s="57"/>
      <c r="I110" s="57"/>
      <c r="J110" s="57"/>
      <c r="K110" s="60"/>
      <c r="L110" s="60"/>
      <c r="M110" s="57"/>
      <c r="N110" s="57"/>
      <c r="O110" s="57"/>
      <c r="P110" s="78"/>
      <c r="Q110" s="146"/>
      <c r="R110" s="78"/>
      <c r="S110" s="78"/>
      <c r="T110" s="4"/>
    </row>
    <row r="111" spans="1:19" s="2" customFormat="1" ht="15.75" hidden="1">
      <c r="A111" s="101"/>
      <c r="B111" s="57"/>
      <c r="C111" s="57"/>
      <c r="D111" s="86"/>
      <c r="E111" s="86"/>
      <c r="F111" s="57"/>
      <c r="G111" s="57"/>
      <c r="H111" s="57"/>
      <c r="I111" s="57"/>
      <c r="J111" s="57"/>
      <c r="K111" s="60"/>
      <c r="L111" s="60"/>
      <c r="M111" s="57"/>
      <c r="N111" s="57"/>
      <c r="O111" s="57"/>
      <c r="P111" s="57"/>
      <c r="Q111" s="147"/>
      <c r="R111" s="57"/>
      <c r="S111" s="57"/>
    </row>
    <row r="112" spans="1:19" s="2" customFormat="1" ht="21.75" customHeight="1" hidden="1">
      <c r="A112" s="101"/>
      <c r="B112" s="57" t="s">
        <v>15</v>
      </c>
      <c r="C112" s="58">
        <f>SUM(C87:C111)</f>
        <v>20.25</v>
      </c>
      <c r="D112" s="86">
        <f>D87+D88+D89+D90+D91*C91+D94*C94+D96+D97*C97+D100*C100+D99</f>
        <v>40039.25</v>
      </c>
      <c r="E112" s="86"/>
      <c r="F112" s="60">
        <f>SUM(F87:F105)</f>
        <v>0</v>
      </c>
      <c r="G112" s="60">
        <f aca="true" t="shared" si="15" ref="G112:N112">SUM(G87:G105)</f>
        <v>0</v>
      </c>
      <c r="H112" s="60">
        <f t="shared" si="15"/>
        <v>415.8</v>
      </c>
      <c r="I112" s="60">
        <f t="shared" si="15"/>
        <v>0</v>
      </c>
      <c r="J112" s="11">
        <f t="shared" si="15"/>
        <v>11611</v>
      </c>
      <c r="K112" s="11">
        <f t="shared" si="15"/>
        <v>29272.8</v>
      </c>
      <c r="L112" s="11"/>
      <c r="M112" s="60">
        <f t="shared" si="15"/>
        <v>893.785</v>
      </c>
      <c r="N112" s="60">
        <f t="shared" si="15"/>
        <v>8198.000000000002</v>
      </c>
      <c r="O112" s="60"/>
      <c r="P112" s="60">
        <f>SUM(P87:P105)</f>
        <v>97478.63500000001</v>
      </c>
      <c r="Q112" s="58">
        <f>SUM(Q87:Q105)</f>
        <v>21930.199999999997</v>
      </c>
      <c r="R112" s="60">
        <f>SUM(R87:R105)</f>
        <v>119408.83499999999</v>
      </c>
      <c r="S112" s="89">
        <f>SUM(S87:S105)</f>
        <v>1321564.26</v>
      </c>
    </row>
    <row r="113" spans="1:19" s="2" customFormat="1" ht="15.75" hidden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</row>
    <row r="114" spans="1:19" s="2" customFormat="1" ht="15.75" hidden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:19" s="2" customFormat="1" ht="15.75" hidden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:19" s="2" customFormat="1" ht="37.5" customHeight="1" hidden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</row>
    <row r="117" spans="1:22" s="2" customFormat="1" ht="15.75" hidden="1">
      <c r="A117" s="165"/>
      <c r="B117" s="168"/>
      <c r="C117" s="168"/>
      <c r="D117" s="169" t="s">
        <v>97</v>
      </c>
      <c r="E117" s="170"/>
      <c r="F117" s="171"/>
      <c r="G117" s="172"/>
      <c r="H117" s="172"/>
      <c r="I117" s="172"/>
      <c r="J117" s="172"/>
      <c r="K117" s="172" t="s">
        <v>98</v>
      </c>
      <c r="L117" s="172"/>
      <c r="M117" s="172"/>
      <c r="N117" s="166"/>
      <c r="O117" s="166"/>
      <c r="P117" s="166"/>
      <c r="Q117" s="166"/>
      <c r="R117" s="166"/>
      <c r="S117" s="167"/>
      <c r="T117" s="167"/>
      <c r="U117" s="167"/>
      <c r="V117" s="167"/>
    </row>
    <row r="118" spans="1:19" s="2" customFormat="1" ht="15" hidden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1:19" s="2" customFormat="1" ht="15" hidden="1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</row>
    <row r="120" spans="1:19" s="2" customFormat="1" ht="15" hidden="1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</row>
    <row r="121" spans="1:19" s="2" customFormat="1" ht="37.5" customHeight="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2" customFormat="1" ht="14.25" customHeight="1" hidden="1">
      <c r="A122" s="61"/>
      <c r="B122" s="61"/>
      <c r="C122" s="67"/>
      <c r="D122" s="67"/>
      <c r="E122" s="67"/>
      <c r="F122" s="67"/>
      <c r="G122" s="67"/>
      <c r="H122" s="67"/>
      <c r="I122" s="67"/>
      <c r="J122" s="67"/>
      <c r="K122" s="66"/>
      <c r="L122" s="66"/>
      <c r="M122" s="66"/>
      <c r="N122" s="66"/>
      <c r="O122" s="66"/>
      <c r="P122" s="61"/>
      <c r="Q122" s="61"/>
      <c r="R122" s="61"/>
      <c r="S122" s="61"/>
    </row>
    <row r="123" spans="1:19" s="2" customFormat="1" ht="18.75" hidden="1">
      <c r="A123" s="6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66"/>
      <c r="P123" s="66"/>
      <c r="Q123" s="66"/>
      <c r="R123" s="66"/>
      <c r="S123" s="66"/>
    </row>
    <row r="124" spans="1:19" s="2" customFormat="1" ht="15.75" hidden="1">
      <c r="A124" s="66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6"/>
      <c r="Q124" s="66"/>
      <c r="R124" s="66"/>
      <c r="S124" s="66"/>
    </row>
    <row r="125" spans="1:19" s="2" customFormat="1" ht="15" hidden="1">
      <c r="A125" s="61"/>
      <c r="B125" s="113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="2" customFormat="1" ht="15" hidden="1">
      <c r="B126" s="64"/>
    </row>
    <row r="127" spans="1:19" s="2" customFormat="1" ht="15.75" hidden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s="2" customFormat="1" ht="15.75" hidden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</row>
    <row r="129" spans="1:19" s="2" customFormat="1" ht="15.75" hidden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</row>
    <row r="130" spans="1:19" s="2" customFormat="1" ht="15.75" hidden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</row>
    <row r="131" spans="1:19" s="2" customFormat="1" ht="15.75" hidden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</row>
    <row r="132" spans="1:19" s="2" customFormat="1" ht="15.75" hidden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</row>
    <row r="133" spans="1:19" s="2" customFormat="1" ht="15.75" hidden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</row>
    <row r="134" spans="1:19" s="2" customFormat="1" ht="15.75" hidden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</row>
    <row r="135" spans="1:19" s="2" customFormat="1" ht="15.75" hidden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</row>
    <row r="136" spans="1:19" s="2" customFormat="1" ht="15.75" hidden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s="2" customFormat="1" ht="20.25" hidden="1">
      <c r="A137" s="5"/>
      <c r="B137" s="5"/>
      <c r="C137" s="5"/>
      <c r="D137" s="5"/>
      <c r="E137" s="5"/>
      <c r="F137" s="5"/>
      <c r="G137" s="5"/>
      <c r="H137" s="6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s="2" customFormat="1" ht="15.75" hidden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2" customFormat="1" ht="15.75" hidden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2" customFormat="1" ht="15.75" hidden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2" customFormat="1" ht="15.75" hidden="1">
      <c r="A141" s="5"/>
      <c r="B141" s="5"/>
      <c r="C141" s="5"/>
      <c r="D141" s="5"/>
      <c r="E141" s="5"/>
      <c r="F141" s="5"/>
      <c r="G141" s="5"/>
      <c r="H141" s="5"/>
      <c r="I141" s="5"/>
      <c r="J141" s="212" t="s">
        <v>56</v>
      </c>
      <c r="K141" s="212"/>
      <c r="L141" s="212"/>
      <c r="M141" s="212"/>
      <c r="N141" s="212"/>
      <c r="O141" s="212"/>
      <c r="P141" s="212"/>
      <c r="Q141" s="111"/>
      <c r="R141" s="111"/>
      <c r="S141" s="5"/>
    </row>
    <row r="142" spans="1:19" s="2" customFormat="1" ht="15.75" hidden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s="2" customFormat="1" ht="15.75" hidden="1">
      <c r="A143" s="5"/>
      <c r="B143" s="5"/>
      <c r="C143" s="5"/>
      <c r="D143" s="5"/>
      <c r="E143" s="5"/>
      <c r="F143" s="5"/>
      <c r="G143" s="5"/>
      <c r="H143" s="5"/>
      <c r="I143" s="5"/>
      <c r="J143" s="212" t="s">
        <v>64</v>
      </c>
      <c r="K143" s="212"/>
      <c r="L143" s="212"/>
      <c r="M143" s="212"/>
      <c r="N143" s="212"/>
      <c r="O143" s="212"/>
      <c r="P143" s="212"/>
      <c r="Q143" s="111"/>
      <c r="R143" s="111"/>
      <c r="S143" s="5"/>
    </row>
    <row r="144" spans="1:19" s="2" customFormat="1" ht="15.75" hidden="1">
      <c r="A144" s="5"/>
      <c r="B144" s="13" t="s">
        <v>0</v>
      </c>
      <c r="C144" s="14" t="s">
        <v>58</v>
      </c>
      <c r="D144" s="5"/>
      <c r="E144" s="5"/>
      <c r="F144" s="5"/>
      <c r="G144" s="5"/>
      <c r="H144" s="5"/>
      <c r="I144" s="5"/>
      <c r="J144" s="5" t="s">
        <v>62</v>
      </c>
      <c r="K144" s="5"/>
      <c r="L144" s="5"/>
      <c r="M144" s="5"/>
      <c r="N144" s="5"/>
      <c r="O144" s="5"/>
      <c r="P144" s="5"/>
      <c r="Q144" s="5"/>
      <c r="R144" s="5"/>
      <c r="S144" s="5"/>
    </row>
    <row r="145" spans="1:19" s="2" customFormat="1" ht="29.25" customHeight="1" hidden="1">
      <c r="A145" s="5"/>
      <c r="B145" s="277" t="s">
        <v>59</v>
      </c>
      <c r="C145" s="277"/>
      <c r="D145" s="277"/>
      <c r="E145" s="277"/>
      <c r="F145" s="277"/>
      <c r="G145" s="15"/>
      <c r="H145" s="15"/>
      <c r="I145" s="5"/>
      <c r="J145" s="5" t="s">
        <v>63</v>
      </c>
      <c r="K145" s="5"/>
      <c r="L145" s="5"/>
      <c r="M145" s="5"/>
      <c r="N145" s="5"/>
      <c r="O145" s="5"/>
      <c r="P145" s="5"/>
      <c r="Q145" s="5"/>
      <c r="R145" s="5"/>
      <c r="S145" s="5"/>
    </row>
    <row r="146" spans="1:19" s="2" customFormat="1" ht="15.75" hidden="1">
      <c r="A146" s="5"/>
      <c r="B146" s="5" t="s">
        <v>16</v>
      </c>
      <c r="C146" s="5"/>
      <c r="D146" s="5"/>
      <c r="E146" s="5"/>
      <c r="F146" s="5"/>
      <c r="G146" s="5"/>
      <c r="H146" s="5"/>
      <c r="I146" s="5"/>
      <c r="J146" s="16"/>
      <c r="K146" s="16"/>
      <c r="L146" s="16"/>
      <c r="M146" s="16"/>
      <c r="N146" s="16"/>
      <c r="O146" s="16"/>
      <c r="P146" s="16"/>
      <c r="Q146" s="16"/>
      <c r="R146" s="16"/>
      <c r="S146" s="5"/>
    </row>
    <row r="147" spans="1:19" s="2" customFormat="1" ht="15.75" hidden="1">
      <c r="A147" s="5"/>
      <c r="B147" s="5"/>
      <c r="C147" s="5"/>
      <c r="D147" s="5"/>
      <c r="E147" s="5"/>
      <c r="F147" s="5"/>
      <c r="G147" s="5"/>
      <c r="H147" s="5"/>
      <c r="I147" s="5"/>
      <c r="J147" s="16"/>
      <c r="K147" s="16"/>
      <c r="L147" s="16"/>
      <c r="M147" s="16"/>
      <c r="N147" s="16"/>
      <c r="O147" s="16"/>
      <c r="P147" s="16"/>
      <c r="Q147" s="16"/>
      <c r="R147" s="16"/>
      <c r="S147" s="5"/>
    </row>
    <row r="148" spans="1:19" s="2" customFormat="1" ht="15.75" hidden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2" customFormat="1" ht="15.75" hidden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2" customFormat="1" ht="12.75" customHeight="1" hidden="1">
      <c r="A150" s="254" t="s">
        <v>1</v>
      </c>
      <c r="B150" s="17" t="s">
        <v>2</v>
      </c>
      <c r="C150" s="8" t="s">
        <v>4</v>
      </c>
      <c r="D150" s="262" t="s">
        <v>47</v>
      </c>
      <c r="E150" s="263"/>
      <c r="F150" s="268" t="s">
        <v>7</v>
      </c>
      <c r="G150" s="269"/>
      <c r="H150" s="256" t="s">
        <v>8</v>
      </c>
      <c r="I150" s="256"/>
      <c r="J150" s="256"/>
      <c r="K150" s="256"/>
      <c r="L150" s="256"/>
      <c r="M150" s="257"/>
      <c r="N150" s="257"/>
      <c r="O150" s="258"/>
      <c r="P150" s="17" t="s">
        <v>10</v>
      </c>
      <c r="Q150" s="17"/>
      <c r="R150" s="17"/>
      <c r="S150" s="8" t="s">
        <v>13</v>
      </c>
    </row>
    <row r="151" spans="1:19" s="2" customFormat="1" ht="12.75" customHeight="1" hidden="1">
      <c r="A151" s="255"/>
      <c r="B151" s="21" t="s">
        <v>3</v>
      </c>
      <c r="C151" s="21" t="s">
        <v>5</v>
      </c>
      <c r="D151" s="264"/>
      <c r="E151" s="265"/>
      <c r="F151" s="248" t="s">
        <v>17</v>
      </c>
      <c r="G151" s="259" t="s">
        <v>57</v>
      </c>
      <c r="H151" s="248" t="s">
        <v>9</v>
      </c>
      <c r="I151" s="248"/>
      <c r="J151" s="248"/>
      <c r="K151" s="248"/>
      <c r="L151" s="34"/>
      <c r="M151" s="259" t="s">
        <v>48</v>
      </c>
      <c r="N151" s="259" t="s">
        <v>49</v>
      </c>
      <c r="O151" s="276"/>
      <c r="P151" s="21" t="s">
        <v>11</v>
      </c>
      <c r="Q151" s="21"/>
      <c r="R151" s="21"/>
      <c r="S151" s="22" t="s">
        <v>11</v>
      </c>
    </row>
    <row r="152" spans="1:19" s="2" customFormat="1" ht="15.75" hidden="1">
      <c r="A152" s="255"/>
      <c r="B152" s="21"/>
      <c r="C152" s="21" t="s">
        <v>6</v>
      </c>
      <c r="D152" s="264"/>
      <c r="E152" s="265"/>
      <c r="F152" s="249"/>
      <c r="G152" s="260"/>
      <c r="H152" s="249"/>
      <c r="I152" s="249"/>
      <c r="J152" s="249"/>
      <c r="K152" s="249"/>
      <c r="L152" s="35"/>
      <c r="M152" s="260"/>
      <c r="N152" s="260"/>
      <c r="O152" s="260"/>
      <c r="P152" s="36" t="s">
        <v>12</v>
      </c>
      <c r="Q152" s="36"/>
      <c r="R152" s="36"/>
      <c r="S152" s="22" t="s">
        <v>14</v>
      </c>
    </row>
    <row r="153" spans="1:19" s="2" customFormat="1" ht="15.75" hidden="1">
      <c r="A153" s="20"/>
      <c r="B153" s="21"/>
      <c r="C153" s="21"/>
      <c r="D153" s="264"/>
      <c r="E153" s="265"/>
      <c r="F153" s="249"/>
      <c r="G153" s="260"/>
      <c r="H153" s="249"/>
      <c r="I153" s="249"/>
      <c r="J153" s="249"/>
      <c r="K153" s="249"/>
      <c r="L153" s="35"/>
      <c r="M153" s="260"/>
      <c r="N153" s="260"/>
      <c r="O153" s="260"/>
      <c r="P153" s="36"/>
      <c r="Q153" s="36"/>
      <c r="R153" s="36"/>
      <c r="S153" s="22"/>
    </row>
    <row r="154" spans="1:19" s="2" customFormat="1" ht="72.75" customHeight="1" hidden="1">
      <c r="A154" s="24"/>
      <c r="B154" s="26"/>
      <c r="C154" s="26"/>
      <c r="D154" s="266"/>
      <c r="E154" s="267"/>
      <c r="F154" s="250"/>
      <c r="G154" s="261"/>
      <c r="H154" s="250"/>
      <c r="I154" s="250"/>
      <c r="J154" s="250"/>
      <c r="K154" s="250"/>
      <c r="L154" s="37"/>
      <c r="M154" s="261"/>
      <c r="N154" s="261"/>
      <c r="O154" s="261"/>
      <c r="P154" s="25"/>
      <c r="Q154" s="25"/>
      <c r="R154" s="25"/>
      <c r="S154" s="9"/>
    </row>
    <row r="155" spans="1:19" s="2" customFormat="1" ht="126" hidden="1">
      <c r="A155" s="27">
        <v>1</v>
      </c>
      <c r="B155" s="42" t="s">
        <v>60</v>
      </c>
      <c r="C155" s="9">
        <v>0.5</v>
      </c>
      <c r="D155" s="31" t="e">
        <f>'[1]школи з 01.09.13'!#REF!*95%</f>
        <v>#REF!</v>
      </c>
      <c r="E155" s="29" t="s">
        <v>61</v>
      </c>
      <c r="F155" s="30" t="e">
        <f>D155*20%*0.5</f>
        <v>#REF!</v>
      </c>
      <c r="G155" s="30" t="e">
        <f>D155*C155*20%*0.5</f>
        <v>#REF!</v>
      </c>
      <c r="H155" s="41"/>
      <c r="I155" s="41"/>
      <c r="J155" s="41"/>
      <c r="K155" s="41"/>
      <c r="L155" s="41"/>
      <c r="M155" s="41"/>
      <c r="N155" s="41"/>
      <c r="O155" s="41"/>
      <c r="P155" s="31" t="e">
        <f>D155*C155+F155+H155+I155+J155+K155+M155+N155+O155+G155</f>
        <v>#REF!</v>
      </c>
      <c r="Q155" s="31"/>
      <c r="R155" s="31"/>
      <c r="S155" s="31" t="e">
        <f>P155*12</f>
        <v>#REF!</v>
      </c>
    </row>
    <row r="156" spans="1:19" s="2" customFormat="1" ht="47.25" hidden="1">
      <c r="A156" s="19">
        <v>2</v>
      </c>
      <c r="B156" s="43" t="s">
        <v>30</v>
      </c>
      <c r="C156" s="6">
        <v>4</v>
      </c>
      <c r="D156" s="28">
        <v>1396</v>
      </c>
      <c r="E156" s="29" t="s">
        <v>53</v>
      </c>
      <c r="F156" s="30">
        <f>D156*C156*20%</f>
        <v>1116.8</v>
      </c>
      <c r="G156" s="30">
        <f>D156*C156*20%</f>
        <v>1116.8</v>
      </c>
      <c r="H156" s="6"/>
      <c r="I156" s="6"/>
      <c r="J156" s="6"/>
      <c r="K156" s="6"/>
      <c r="L156" s="6"/>
      <c r="M156" s="6"/>
      <c r="N156" s="6"/>
      <c r="O156" s="6"/>
      <c r="P156" s="31">
        <f>D156*C156+F156+H156+I156+J156+K156+M156+N156+O156+G156</f>
        <v>7817.6</v>
      </c>
      <c r="Q156" s="31"/>
      <c r="R156" s="31"/>
      <c r="S156" s="31">
        <f aca="true" t="shared" si="16" ref="S156:S163">P156*12</f>
        <v>93811.20000000001</v>
      </c>
    </row>
    <row r="157" spans="1:19" s="2" customFormat="1" ht="15.75" hidden="1">
      <c r="A157" s="44"/>
      <c r="B157" s="45"/>
      <c r="C157" s="6"/>
      <c r="D157" s="28"/>
      <c r="E157" s="29"/>
      <c r="F157" s="30"/>
      <c r="G157" s="30"/>
      <c r="H157" s="6"/>
      <c r="I157" s="6"/>
      <c r="J157" s="6"/>
      <c r="K157" s="6"/>
      <c r="L157" s="6"/>
      <c r="M157" s="6"/>
      <c r="N157" s="6"/>
      <c r="O157" s="6"/>
      <c r="P157" s="31">
        <f>D157*C157+F157+H157+I157+J157+K157+M157+N157+O157+G157</f>
        <v>0</v>
      </c>
      <c r="Q157" s="31"/>
      <c r="R157" s="31"/>
      <c r="S157" s="31">
        <f t="shared" si="16"/>
        <v>0</v>
      </c>
    </row>
    <row r="158" spans="1:19" s="2" customFormat="1" ht="15.75" hidden="1">
      <c r="A158" s="41"/>
      <c r="B158" s="46"/>
      <c r="C158" s="6"/>
      <c r="D158" s="28"/>
      <c r="E158" s="29"/>
      <c r="F158" s="30"/>
      <c r="G158" s="30"/>
      <c r="H158" s="6"/>
      <c r="I158" s="6"/>
      <c r="J158" s="6"/>
      <c r="K158" s="6"/>
      <c r="L158" s="6"/>
      <c r="M158" s="6"/>
      <c r="N158" s="6"/>
      <c r="O158" s="6"/>
      <c r="P158" s="31">
        <f>D158*C158+F158+H158+I158+J158+K158+M158+N158+O158+G158</f>
        <v>0</v>
      </c>
      <c r="Q158" s="31"/>
      <c r="R158" s="31"/>
      <c r="S158" s="31">
        <f t="shared" si="16"/>
        <v>0</v>
      </c>
    </row>
    <row r="159" spans="1:19" s="2" customFormat="1" ht="0.75" customHeight="1" hidden="1">
      <c r="A159" s="18"/>
      <c r="B159" s="6"/>
      <c r="C159" s="6"/>
      <c r="D159" s="28"/>
      <c r="E159" s="2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1"/>
      <c r="Q159" s="31"/>
      <c r="R159" s="31"/>
      <c r="S159" s="31">
        <f t="shared" si="16"/>
        <v>0</v>
      </c>
    </row>
    <row r="160" spans="1:19" s="2" customFormat="1" ht="15.75" hidden="1">
      <c r="A160" s="18"/>
      <c r="B160" s="32"/>
      <c r="C160" s="6"/>
      <c r="D160" s="28"/>
      <c r="E160" s="29"/>
      <c r="F160" s="6"/>
      <c r="G160" s="6"/>
      <c r="H160" s="6"/>
      <c r="I160" s="6"/>
      <c r="J160" s="6"/>
      <c r="K160" s="6"/>
      <c r="L160" s="6"/>
      <c r="M160" s="6"/>
      <c r="N160" s="7"/>
      <c r="O160" s="7"/>
      <c r="P160" s="31">
        <f>D160*C160+F160+H160+I160+J160+K160+M160+N160+O160</f>
        <v>0</v>
      </c>
      <c r="Q160" s="31"/>
      <c r="R160" s="31"/>
      <c r="S160" s="31">
        <f t="shared" si="16"/>
        <v>0</v>
      </c>
    </row>
    <row r="161" spans="1:19" s="2" customFormat="1" ht="47.25" hidden="1">
      <c r="A161" s="18">
        <v>4</v>
      </c>
      <c r="B161" s="32" t="s">
        <v>20</v>
      </c>
      <c r="C161" s="6">
        <v>0.75</v>
      </c>
      <c r="D161" s="28">
        <v>1107</v>
      </c>
      <c r="E161" s="29" t="s">
        <v>52</v>
      </c>
      <c r="F161" s="6"/>
      <c r="G161" s="6"/>
      <c r="H161" s="6"/>
      <c r="I161" s="6"/>
      <c r="J161" s="6"/>
      <c r="K161" s="6"/>
      <c r="L161" s="6"/>
      <c r="M161" s="6"/>
      <c r="N161" s="7">
        <f>D161*40%*C161</f>
        <v>332.1</v>
      </c>
      <c r="O161" s="7"/>
      <c r="P161" s="31">
        <f>D161*C161+F161+H161+I161+J161+K161+M161+N161+O161</f>
        <v>1162.35</v>
      </c>
      <c r="Q161" s="31"/>
      <c r="R161" s="31"/>
      <c r="S161" s="31">
        <f t="shared" si="16"/>
        <v>13948.199999999999</v>
      </c>
    </row>
    <row r="162" spans="1:19" s="2" customFormat="1" ht="0.75" customHeight="1" hidden="1">
      <c r="A162" s="18"/>
      <c r="B162" s="32"/>
      <c r="C162" s="6"/>
      <c r="D162" s="28">
        <v>1099</v>
      </c>
      <c r="E162" s="2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1"/>
      <c r="Q162" s="31"/>
      <c r="R162" s="31"/>
      <c r="S162" s="31">
        <f t="shared" si="16"/>
        <v>0</v>
      </c>
    </row>
    <row r="163" spans="1:19" s="2" customFormat="1" ht="47.25" hidden="1">
      <c r="A163" s="18">
        <v>5</v>
      </c>
      <c r="B163" s="32" t="s">
        <v>55</v>
      </c>
      <c r="C163" s="6">
        <v>0.5</v>
      </c>
      <c r="D163" s="28">
        <v>1107</v>
      </c>
      <c r="E163" s="29" t="s">
        <v>52</v>
      </c>
      <c r="F163" s="6"/>
      <c r="G163" s="6"/>
      <c r="H163" s="6"/>
      <c r="I163" s="6"/>
      <c r="J163" s="6"/>
      <c r="K163" s="6"/>
      <c r="L163" s="6"/>
      <c r="M163" s="7">
        <f>D163*10%*0.5</f>
        <v>55.35</v>
      </c>
      <c r="N163" s="6"/>
      <c r="O163" s="6"/>
      <c r="P163" s="31">
        <f>D163*C163+F163+H163+I163+J163+K163+M163+N163+O163</f>
        <v>608.85</v>
      </c>
      <c r="Q163" s="31"/>
      <c r="R163" s="31"/>
      <c r="S163" s="31">
        <f t="shared" si="16"/>
        <v>7306.200000000001</v>
      </c>
    </row>
    <row r="164" spans="1:19" s="2" customFormat="1" ht="15.75" hidden="1">
      <c r="A164" s="18"/>
      <c r="B164" s="6"/>
      <c r="C164" s="6"/>
      <c r="D164" s="7"/>
      <c r="E164" s="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1"/>
      <c r="Q164" s="31"/>
      <c r="R164" s="31"/>
      <c r="S164" s="31"/>
    </row>
    <row r="165" spans="1:19" s="2" customFormat="1" ht="15.75" hidden="1">
      <c r="A165" s="18"/>
      <c r="B165" s="6" t="s">
        <v>27</v>
      </c>
      <c r="C165" s="6">
        <f>SUM(C155:C164)</f>
        <v>5.75</v>
      </c>
      <c r="D165" s="33" t="e">
        <f>D155+D156*C156+D160*C160+D161*C161+D163*C163+D157*C157+D158*C158</f>
        <v>#REF!</v>
      </c>
      <c r="E165" s="33"/>
      <c r="F165" s="7" t="e">
        <f>SUM(F155:F163)</f>
        <v>#REF!</v>
      </c>
      <c r="G165" s="7" t="e">
        <f>SUM(G155:G163)</f>
        <v>#REF!</v>
      </c>
      <c r="H165" s="7">
        <f aca="true" t="shared" si="17" ref="H165:O165">SUM(H155:H163)</f>
        <v>0</v>
      </c>
      <c r="I165" s="7">
        <f t="shared" si="17"/>
        <v>0</v>
      </c>
      <c r="J165" s="7">
        <f t="shared" si="17"/>
        <v>0</v>
      </c>
      <c r="K165" s="7">
        <f t="shared" si="17"/>
        <v>0</v>
      </c>
      <c r="L165" s="7"/>
      <c r="M165" s="7">
        <f t="shared" si="17"/>
        <v>55.35</v>
      </c>
      <c r="N165" s="7">
        <f t="shared" si="17"/>
        <v>332.1</v>
      </c>
      <c r="O165" s="7">
        <f t="shared" si="17"/>
        <v>0</v>
      </c>
      <c r="P165" s="7" t="e">
        <f>SUM(P155:P163)</f>
        <v>#REF!</v>
      </c>
      <c r="Q165" s="7"/>
      <c r="R165" s="7"/>
      <c r="S165" s="7" t="e">
        <f>SUM(S155:S163)</f>
        <v>#REF!</v>
      </c>
    </row>
    <row r="166" spans="1:19" s="2" customFormat="1" ht="15.75" hidden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9"/>
      <c r="Q166" s="9"/>
      <c r="R166" s="9"/>
      <c r="S166" s="9"/>
    </row>
    <row r="167" spans="1:19" s="2" customFormat="1" ht="15.75" hidden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s="2" customFormat="1" ht="15.75" hidden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s="2" customFormat="1" ht="15.75" hidden="1">
      <c r="A169" s="16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</row>
    <row r="170" spans="1:19" s="2" customFormat="1" ht="15.75" hidden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s="2" customFormat="1" ht="15.75" hidden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s="2" customFormat="1" ht="15.75" hidden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s="2" customFormat="1" ht="15.75" customHeight="1" hidden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s="2" customFormat="1" ht="15.75" hidden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s="2" customFormat="1" ht="15.75" hidden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s="2" customFormat="1" ht="15.75" hidden="1">
      <c r="A176" s="211" t="s">
        <v>65</v>
      </c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112"/>
      <c r="R176" s="112"/>
      <c r="S176" s="5"/>
    </row>
    <row r="177" spans="1:19" s="2" customFormat="1" ht="18" customHeight="1" hidden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12"/>
    </row>
    <row r="178" spans="1:19" s="2" customFormat="1" ht="12.75" customHeight="1" hidden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s="2" customFormat="1" ht="15.75" hidden="1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112"/>
      <c r="R179" s="112"/>
      <c r="S179" s="5"/>
    </row>
    <row r="180" spans="1:19" s="2" customFormat="1" ht="15.75" hidden="1">
      <c r="A180" s="5"/>
      <c r="B180" s="5" t="s">
        <v>66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s="2" customFormat="1" ht="15.75" hidden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2" customFormat="1" ht="15.75" hidden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s="2" customFormat="1" ht="15.75" hidden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s="2" customFormat="1" ht="15.75" hidden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s="2" customFormat="1" ht="15.75" hidden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s="2" customFormat="1" ht="15.75" hidden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s="2" customFormat="1" ht="15.75" hidden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s="2" customFormat="1" ht="15.75" hidden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s="2" customFormat="1" ht="15.75" hidden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s="2" customFormat="1" ht="15.75" hidden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s="2" customFormat="1" ht="15.75" hidden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s="2" customFormat="1" ht="15.75" hidden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s="2" customFormat="1" ht="15.75" hidden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s="2" customFormat="1" ht="15.75" hidden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s="2" customFormat="1" ht="15.75" hidden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s="2" customFormat="1" ht="15.75" hidden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s="2" customFormat="1" ht="15.75" hidden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s="2" customFormat="1" ht="15.75" hidden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s="2" customFormat="1" ht="15.75" hidden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s="2" customFormat="1" ht="15.75" hidden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s="2" customFormat="1" ht="15.75" hidden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s="2" customFormat="1" ht="15.75" hidden="1">
      <c r="A202" s="5"/>
      <c r="B202" s="5"/>
      <c r="C202" s="5"/>
      <c r="D202" s="5"/>
      <c r="E202" s="5"/>
      <c r="F202" s="5"/>
      <c r="G202" s="5"/>
      <c r="H202" s="5"/>
      <c r="I202" s="5"/>
      <c r="J202" s="5" t="s">
        <v>26</v>
      </c>
      <c r="K202" s="5"/>
      <c r="L202" s="5"/>
      <c r="M202" s="5"/>
      <c r="N202" s="5"/>
      <c r="O202" s="5"/>
      <c r="P202" s="5"/>
      <c r="Q202" s="5"/>
      <c r="R202" s="5"/>
      <c r="S202" s="5"/>
    </row>
    <row r="203" spans="1:19" s="2" customFormat="1" ht="15.75" hidden="1">
      <c r="A203" s="5"/>
      <c r="B203" s="13" t="s">
        <v>0</v>
      </c>
      <c r="C203" s="13"/>
      <c r="D203" s="5"/>
      <c r="E203" s="5"/>
      <c r="F203" s="5"/>
      <c r="G203" s="5"/>
      <c r="H203" s="5"/>
      <c r="I203" s="5"/>
      <c r="J203" s="5" t="s">
        <v>42</v>
      </c>
      <c r="K203" s="5"/>
      <c r="L203" s="5"/>
      <c r="M203" s="5"/>
      <c r="N203" s="5"/>
      <c r="O203" s="5"/>
      <c r="P203" s="5"/>
      <c r="Q203" s="5"/>
      <c r="R203" s="5"/>
      <c r="S203" s="5"/>
    </row>
    <row r="204" spans="1:19" s="2" customFormat="1" ht="15.75" hidden="1">
      <c r="A204" s="5"/>
      <c r="B204" s="5" t="s">
        <v>28</v>
      </c>
      <c r="C204" s="16"/>
      <c r="D204" s="16"/>
      <c r="E204" s="16"/>
      <c r="F204" s="5"/>
      <c r="G204" s="5"/>
      <c r="H204" s="5"/>
      <c r="I204" s="5"/>
      <c r="J204" s="5" t="s">
        <v>37</v>
      </c>
      <c r="K204" s="5"/>
      <c r="L204" s="5"/>
      <c r="M204" s="5"/>
      <c r="N204" s="5"/>
      <c r="O204" s="5"/>
      <c r="P204" s="5"/>
      <c r="Q204" s="5"/>
      <c r="R204" s="5"/>
      <c r="S204" s="5"/>
    </row>
    <row r="205" spans="1:19" s="2" customFormat="1" ht="15.75" hidden="1">
      <c r="A205" s="5"/>
      <c r="B205" s="5" t="s">
        <v>16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s="2" customFormat="1" ht="15.75" hidden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s="2" customFormat="1" ht="15.75" hidden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s="2" customFormat="1" ht="15.75" hidden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s="2" customFormat="1" ht="15.75" hidden="1">
      <c r="A209" s="254" t="s">
        <v>1</v>
      </c>
      <c r="B209" s="17" t="s">
        <v>2</v>
      </c>
      <c r="C209" s="8" t="s">
        <v>4</v>
      </c>
      <c r="D209" s="248" t="s">
        <v>18</v>
      </c>
      <c r="E209" s="47"/>
      <c r="F209" s="40" t="s">
        <v>7</v>
      </c>
      <c r="G209" s="40"/>
      <c r="H209" s="256" t="s">
        <v>8</v>
      </c>
      <c r="I209" s="256"/>
      <c r="J209" s="256"/>
      <c r="K209" s="256"/>
      <c r="L209" s="256"/>
      <c r="M209" s="257"/>
      <c r="N209" s="257"/>
      <c r="O209" s="258"/>
      <c r="P209" s="17" t="s">
        <v>10</v>
      </c>
      <c r="Q209" s="17"/>
      <c r="R209" s="17"/>
      <c r="S209" s="8" t="s">
        <v>13</v>
      </c>
    </row>
    <row r="210" spans="1:19" s="2" customFormat="1" ht="15.75" hidden="1">
      <c r="A210" s="255"/>
      <c r="B210" s="21" t="s">
        <v>3</v>
      </c>
      <c r="C210" s="21" t="s">
        <v>5</v>
      </c>
      <c r="D210" s="249"/>
      <c r="E210" s="35"/>
      <c r="F210" s="248" t="s">
        <v>17</v>
      </c>
      <c r="G210" s="34"/>
      <c r="H210" s="248" t="s">
        <v>9</v>
      </c>
      <c r="I210" s="248"/>
      <c r="J210" s="248"/>
      <c r="K210" s="248"/>
      <c r="L210" s="34"/>
      <c r="M210" s="251">
        <v>0.1</v>
      </c>
      <c r="N210" s="251"/>
      <c r="O210" s="251">
        <v>0.4</v>
      </c>
      <c r="P210" s="21" t="s">
        <v>11</v>
      </c>
      <c r="Q210" s="21"/>
      <c r="R210" s="21"/>
      <c r="S210" s="22" t="s">
        <v>11</v>
      </c>
    </row>
    <row r="211" spans="1:19" s="2" customFormat="1" ht="15.75" hidden="1">
      <c r="A211" s="255"/>
      <c r="B211" s="21"/>
      <c r="C211" s="21" t="s">
        <v>6</v>
      </c>
      <c r="D211" s="249"/>
      <c r="E211" s="35"/>
      <c r="F211" s="249"/>
      <c r="G211" s="35"/>
      <c r="H211" s="249"/>
      <c r="I211" s="249"/>
      <c r="J211" s="249"/>
      <c r="K211" s="249"/>
      <c r="L211" s="35"/>
      <c r="M211" s="249"/>
      <c r="N211" s="249"/>
      <c r="O211" s="249"/>
      <c r="P211" s="36" t="s">
        <v>12</v>
      </c>
      <c r="Q211" s="36"/>
      <c r="R211" s="36"/>
      <c r="S211" s="22" t="s">
        <v>14</v>
      </c>
    </row>
    <row r="212" spans="1:19" s="2" customFormat="1" ht="15.75" hidden="1">
      <c r="A212" s="20"/>
      <c r="B212" s="21"/>
      <c r="C212" s="21"/>
      <c r="D212" s="249"/>
      <c r="E212" s="35"/>
      <c r="F212" s="249"/>
      <c r="G212" s="35"/>
      <c r="H212" s="249"/>
      <c r="I212" s="249"/>
      <c r="J212" s="249"/>
      <c r="K212" s="249"/>
      <c r="L212" s="35"/>
      <c r="M212" s="249"/>
      <c r="N212" s="249"/>
      <c r="O212" s="249"/>
      <c r="P212" s="36"/>
      <c r="Q212" s="36"/>
      <c r="R212" s="36"/>
      <c r="S212" s="22"/>
    </row>
    <row r="213" spans="1:19" s="2" customFormat="1" ht="15.75" hidden="1">
      <c r="A213" s="24"/>
      <c r="B213" s="26"/>
      <c r="C213" s="26"/>
      <c r="D213" s="250"/>
      <c r="E213" s="37"/>
      <c r="F213" s="250"/>
      <c r="G213" s="37"/>
      <c r="H213" s="250"/>
      <c r="I213" s="250"/>
      <c r="J213" s="250"/>
      <c r="K213" s="250"/>
      <c r="L213" s="37"/>
      <c r="M213" s="250"/>
      <c r="N213" s="250"/>
      <c r="O213" s="250"/>
      <c r="P213" s="25"/>
      <c r="Q213" s="25"/>
      <c r="R213" s="25"/>
      <c r="S213" s="9"/>
    </row>
    <row r="214" spans="1:19" s="2" customFormat="1" ht="15.75" hidden="1">
      <c r="A214" s="9">
        <v>1</v>
      </c>
      <c r="B214" s="9" t="s">
        <v>22</v>
      </c>
      <c r="C214" s="9"/>
      <c r="D214" s="31"/>
      <c r="E214" s="3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9"/>
      <c r="Q214" s="9"/>
      <c r="R214" s="9"/>
      <c r="S214" s="9"/>
    </row>
    <row r="215" spans="1:19" s="2" customFormat="1" ht="15.75" hidden="1">
      <c r="A215" s="6"/>
      <c r="B215" s="6" t="s">
        <v>31</v>
      </c>
      <c r="C215" s="6"/>
      <c r="D215" s="7"/>
      <c r="E215" s="7"/>
      <c r="F215" s="7"/>
      <c r="G215" s="7"/>
      <c r="H215" s="6"/>
      <c r="I215" s="6"/>
      <c r="J215" s="6"/>
      <c r="K215" s="6"/>
      <c r="L215" s="6"/>
      <c r="M215" s="6"/>
      <c r="N215" s="6"/>
      <c r="O215" s="6"/>
      <c r="P215" s="31"/>
      <c r="Q215" s="31"/>
      <c r="R215" s="31"/>
      <c r="S215" s="31"/>
    </row>
    <row r="216" spans="1:19" s="2" customFormat="1" ht="15.75" hidden="1">
      <c r="A216" s="6"/>
      <c r="B216" s="6"/>
      <c r="C216" s="6"/>
      <c r="D216" s="7"/>
      <c r="E216" s="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1"/>
      <c r="Q216" s="31"/>
      <c r="R216" s="31"/>
      <c r="S216" s="31"/>
    </row>
    <row r="217" spans="1:19" s="2" customFormat="1" ht="15.75" hidden="1">
      <c r="A217" s="6"/>
      <c r="B217" s="6"/>
      <c r="C217" s="6"/>
      <c r="D217" s="7"/>
      <c r="E217" s="7"/>
      <c r="F217" s="6"/>
      <c r="G217" s="6"/>
      <c r="H217" s="6"/>
      <c r="I217" s="6"/>
      <c r="J217" s="6"/>
      <c r="K217" s="6"/>
      <c r="L217" s="6"/>
      <c r="M217" s="7"/>
      <c r="N217" s="6"/>
      <c r="O217" s="6"/>
      <c r="P217" s="31"/>
      <c r="Q217" s="31"/>
      <c r="R217" s="31"/>
      <c r="S217" s="31"/>
    </row>
    <row r="218" spans="1:19" s="2" customFormat="1" ht="15.75" hidden="1">
      <c r="A218" s="6"/>
      <c r="B218" s="6"/>
      <c r="C218" s="6"/>
      <c r="D218" s="7"/>
      <c r="E218" s="7"/>
      <c r="F218" s="6"/>
      <c r="G218" s="6"/>
      <c r="H218" s="6"/>
      <c r="I218" s="6"/>
      <c r="J218" s="6"/>
      <c r="K218" s="6"/>
      <c r="L218" s="6"/>
      <c r="M218" s="7"/>
      <c r="N218" s="6"/>
      <c r="O218" s="6"/>
      <c r="P218" s="31"/>
      <c r="Q218" s="31"/>
      <c r="R218" s="31"/>
      <c r="S218" s="31"/>
    </row>
    <row r="219" spans="1:19" s="2" customFormat="1" ht="15.75" hidden="1">
      <c r="A219" s="6"/>
      <c r="B219" s="6" t="s">
        <v>27</v>
      </c>
      <c r="C219" s="6">
        <f>SUM(C215:C217)</f>
        <v>0</v>
      </c>
      <c r="D219" s="33">
        <f>D215*C215+D217</f>
        <v>0</v>
      </c>
      <c r="E219" s="33"/>
      <c r="F219" s="7">
        <f aca="true" t="shared" si="18" ref="F219:O219">SUM(F215:F217)</f>
        <v>0</v>
      </c>
      <c r="G219" s="7"/>
      <c r="H219" s="6">
        <f t="shared" si="18"/>
        <v>0</v>
      </c>
      <c r="I219" s="6">
        <f t="shared" si="18"/>
        <v>0</v>
      </c>
      <c r="J219" s="6">
        <f t="shared" si="18"/>
        <v>0</v>
      </c>
      <c r="K219" s="6">
        <f t="shared" si="18"/>
        <v>0</v>
      </c>
      <c r="L219" s="6"/>
      <c r="M219" s="7">
        <f t="shared" si="18"/>
        <v>0</v>
      </c>
      <c r="N219" s="6">
        <f t="shared" si="18"/>
        <v>0</v>
      </c>
      <c r="O219" s="6">
        <f t="shared" si="18"/>
        <v>0</v>
      </c>
      <c r="P219" s="7">
        <f>SUM(P215:P217)</f>
        <v>0</v>
      </c>
      <c r="Q219" s="7"/>
      <c r="R219" s="7"/>
      <c r="S219" s="7">
        <f>SUM(S215:S217)</f>
        <v>0</v>
      </c>
    </row>
    <row r="220" spans="1:19" s="2" customFormat="1" ht="15.75" hidden="1">
      <c r="A220" s="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</row>
    <row r="221" spans="1:19" s="2" customFormat="1" ht="15.75" hidden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1:19" s="2" customFormat="1" ht="15.75" hidden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1:19" s="2" customFormat="1" ht="15.75" hidden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s="2" customFormat="1" ht="12.75" customHeight="1" hidden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s="2" customFormat="1" ht="15.75" hidden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s="2" customFormat="1" ht="15.75" hidden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2" customFormat="1" ht="15.75" hidden="1">
      <c r="A227" s="211" t="s">
        <v>43</v>
      </c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</row>
    <row r="228" spans="1:19" s="2" customFormat="1" ht="15.75" hidden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2" customFormat="1" ht="17.25" customHeight="1" hidden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2" customFormat="1" ht="15.75" hidden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2" customFormat="1" ht="15.75" hidden="1">
      <c r="A231" s="5"/>
      <c r="B231" s="5" t="s">
        <v>44</v>
      </c>
      <c r="C231" s="5" t="s">
        <v>45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2" customFormat="1" ht="15.75" hidden="1">
      <c r="A232" s="5"/>
      <c r="B232" s="5" t="s">
        <v>21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2" customFormat="1" ht="15.75" hidden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2" customFormat="1" ht="15.75" hidden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2" customFormat="1" ht="15.75" hidden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2" customFormat="1" ht="15.75" hidden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2" customFormat="1" ht="15.75" hidden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2" customFormat="1" ht="15.75" hidden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s="2" customFormat="1" ht="15.75" hidden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s="2" customFormat="1" ht="15.75" hidden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s="2" customFormat="1" ht="15.75" hidden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2" customFormat="1" ht="15.75" hidden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s="2" customFormat="1" ht="15.75" hidden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s="2" customFormat="1" ht="15.75" hidden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s="2" customFormat="1" ht="15.75" hidden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s="2" customFormat="1" ht="15.75" hidden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s="2" customFormat="1" ht="15.75" hidden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2" customFormat="1" ht="15.75" hidden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s="2" customFormat="1" ht="15.75" hidden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2" customFormat="1" ht="15.75" hidden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48"/>
      <c r="Q250" s="48"/>
      <c r="R250" s="48"/>
      <c r="S250" s="16"/>
    </row>
    <row r="251" spans="1:19" s="2" customFormat="1" ht="15.75" hidden="1">
      <c r="A251" s="16"/>
      <c r="B251" s="49"/>
      <c r="C251" s="4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48"/>
      <c r="Q251" s="48"/>
      <c r="R251" s="48"/>
      <c r="S251" s="16"/>
    </row>
    <row r="252" spans="1:19" s="2" customFormat="1" ht="15.75" hidden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48"/>
      <c r="Q252" s="48"/>
      <c r="R252" s="48"/>
      <c r="S252" s="16"/>
    </row>
    <row r="253" spans="1:19" s="2" customFormat="1" ht="15.75" hidden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48"/>
      <c r="Q253" s="48"/>
      <c r="R253" s="48"/>
      <c r="S253" s="16"/>
    </row>
    <row r="254" spans="1:19" s="2" customFormat="1" ht="15.75" hidden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1:19" s="2" customFormat="1" ht="15.75" hidden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1:19" s="2" customFormat="1" ht="15.75" hidden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1:19" s="2" customFormat="1" ht="12.75" customHeight="1" hidden="1">
      <c r="A257" s="252"/>
      <c r="B257" s="16"/>
      <c r="C257" s="16"/>
      <c r="D257" s="213"/>
      <c r="E257" s="50"/>
      <c r="F257" s="16"/>
      <c r="G257" s="16"/>
      <c r="H257" s="252"/>
      <c r="I257" s="252"/>
      <c r="J257" s="252"/>
      <c r="K257" s="252"/>
      <c r="L257" s="252"/>
      <c r="M257" s="252"/>
      <c r="N257" s="252"/>
      <c r="O257" s="252"/>
      <c r="P257" s="16"/>
      <c r="Q257" s="16"/>
      <c r="R257" s="16"/>
      <c r="S257" s="16"/>
    </row>
    <row r="258" spans="1:19" s="2" customFormat="1" ht="12.75" customHeight="1" hidden="1">
      <c r="A258" s="252"/>
      <c r="B258" s="16"/>
      <c r="C258" s="16"/>
      <c r="D258" s="213"/>
      <c r="E258" s="50"/>
      <c r="F258" s="213"/>
      <c r="G258" s="50"/>
      <c r="H258" s="213"/>
      <c r="I258" s="213"/>
      <c r="J258" s="247"/>
      <c r="K258" s="247"/>
      <c r="L258" s="180"/>
      <c r="M258" s="247"/>
      <c r="N258" s="247"/>
      <c r="O258" s="247"/>
      <c r="P258" s="16"/>
      <c r="Q258" s="16"/>
      <c r="R258" s="16"/>
      <c r="S258" s="16"/>
    </row>
    <row r="259" spans="1:19" s="2" customFormat="1" ht="15.75" hidden="1">
      <c r="A259" s="252"/>
      <c r="B259" s="16"/>
      <c r="C259" s="16"/>
      <c r="D259" s="213"/>
      <c r="E259" s="50"/>
      <c r="F259" s="213"/>
      <c r="G259" s="50"/>
      <c r="H259" s="213"/>
      <c r="I259" s="213"/>
      <c r="J259" s="247"/>
      <c r="K259" s="247"/>
      <c r="L259" s="180"/>
      <c r="M259" s="247"/>
      <c r="N259" s="247"/>
      <c r="O259" s="247"/>
      <c r="P259" s="23"/>
      <c r="Q259" s="23"/>
      <c r="R259" s="23"/>
      <c r="S259" s="16"/>
    </row>
    <row r="260" spans="1:19" s="2" customFormat="1" ht="15.75" hidden="1">
      <c r="A260" s="39"/>
      <c r="B260" s="16"/>
      <c r="C260" s="16"/>
      <c r="D260" s="213"/>
      <c r="E260" s="50"/>
      <c r="F260" s="213"/>
      <c r="G260" s="50"/>
      <c r="H260" s="213"/>
      <c r="I260" s="213"/>
      <c r="J260" s="247"/>
      <c r="K260" s="247"/>
      <c r="L260" s="180"/>
      <c r="M260" s="247"/>
      <c r="N260" s="247"/>
      <c r="O260" s="247"/>
      <c r="P260" s="23"/>
      <c r="Q260" s="23"/>
      <c r="R260" s="23"/>
      <c r="S260" s="16"/>
    </row>
    <row r="261" spans="1:19" s="2" customFormat="1" ht="12" customHeight="1" hidden="1">
      <c r="A261" s="39"/>
      <c r="B261" s="16"/>
      <c r="C261" s="16"/>
      <c r="D261" s="213"/>
      <c r="E261" s="50"/>
      <c r="F261" s="213"/>
      <c r="G261" s="50"/>
      <c r="H261" s="213"/>
      <c r="I261" s="213"/>
      <c r="J261" s="247"/>
      <c r="K261" s="247"/>
      <c r="L261" s="180"/>
      <c r="M261" s="247"/>
      <c r="N261" s="247"/>
      <c r="O261" s="247"/>
      <c r="P261" s="23"/>
      <c r="Q261" s="23"/>
      <c r="R261" s="23"/>
      <c r="S261" s="16"/>
    </row>
    <row r="262" spans="1:19" s="2" customFormat="1" ht="15.75" hidden="1">
      <c r="A262" s="16"/>
      <c r="B262" s="16"/>
      <c r="C262" s="16"/>
      <c r="D262" s="51"/>
      <c r="E262" s="51"/>
      <c r="F262" s="52"/>
      <c r="G262" s="52"/>
      <c r="H262" s="52"/>
      <c r="I262" s="52"/>
      <c r="J262" s="53"/>
      <c r="K262" s="52"/>
      <c r="L262" s="52"/>
      <c r="M262" s="52"/>
      <c r="N262" s="52"/>
      <c r="O262" s="52"/>
      <c r="P262" s="38"/>
      <c r="Q262" s="38"/>
      <c r="R262" s="38"/>
      <c r="S262" s="38"/>
    </row>
    <row r="263" spans="1:19" s="2" customFormat="1" ht="15.75" hidden="1">
      <c r="A263" s="16"/>
      <c r="B263" s="16"/>
      <c r="C263" s="16"/>
      <c r="D263" s="51"/>
      <c r="E263" s="51"/>
      <c r="F263" s="16"/>
      <c r="G263" s="16"/>
      <c r="H263" s="16"/>
      <c r="I263" s="16"/>
      <c r="J263" s="53"/>
      <c r="K263" s="52"/>
      <c r="L263" s="52"/>
      <c r="M263" s="16"/>
      <c r="N263" s="16"/>
      <c r="O263" s="16"/>
      <c r="P263" s="38"/>
      <c r="Q263" s="38"/>
      <c r="R263" s="38"/>
      <c r="S263" s="38"/>
    </row>
    <row r="264" spans="1:19" s="2" customFormat="1" ht="15.75" hidden="1">
      <c r="A264" s="16"/>
      <c r="B264" s="16"/>
      <c r="C264" s="16"/>
      <c r="D264" s="51"/>
      <c r="E264" s="51"/>
      <c r="F264" s="16"/>
      <c r="G264" s="16"/>
      <c r="H264" s="16"/>
      <c r="I264" s="16"/>
      <c r="J264" s="38"/>
      <c r="K264" s="52"/>
      <c r="L264" s="52"/>
      <c r="M264" s="16"/>
      <c r="N264" s="16"/>
      <c r="O264" s="16"/>
      <c r="P264" s="38"/>
      <c r="Q264" s="38"/>
      <c r="R264" s="38"/>
      <c r="S264" s="38"/>
    </row>
    <row r="265" spans="1:19" s="2" customFormat="1" ht="15.75" hidden="1">
      <c r="A265" s="16"/>
      <c r="B265" s="16"/>
      <c r="C265" s="16"/>
      <c r="D265" s="51"/>
      <c r="E265" s="51"/>
      <c r="F265" s="16"/>
      <c r="G265" s="16"/>
      <c r="H265" s="16"/>
      <c r="I265" s="16"/>
      <c r="J265" s="38"/>
      <c r="K265" s="52"/>
      <c r="L265" s="52"/>
      <c r="M265" s="16"/>
      <c r="N265" s="16"/>
      <c r="O265" s="16"/>
      <c r="P265" s="38"/>
      <c r="Q265" s="38"/>
      <c r="R265" s="38"/>
      <c r="S265" s="38"/>
    </row>
    <row r="266" spans="1:19" s="2" customFormat="1" ht="15.75" hidden="1">
      <c r="A266" s="16"/>
      <c r="B266" s="16"/>
      <c r="C266" s="16"/>
      <c r="D266" s="51"/>
      <c r="E266" s="51"/>
      <c r="F266" s="16"/>
      <c r="G266" s="16"/>
      <c r="H266" s="16"/>
      <c r="I266" s="16"/>
      <c r="J266" s="38"/>
      <c r="K266" s="52"/>
      <c r="L266" s="52"/>
      <c r="M266" s="16"/>
      <c r="N266" s="16"/>
      <c r="O266" s="16"/>
      <c r="P266" s="38"/>
      <c r="Q266" s="38"/>
      <c r="R266" s="38"/>
      <c r="S266" s="38"/>
    </row>
    <row r="267" spans="1:19" s="2" customFormat="1" ht="15.75" hidden="1">
      <c r="A267" s="16"/>
      <c r="B267" s="16"/>
      <c r="C267" s="16"/>
      <c r="D267" s="51"/>
      <c r="E267" s="51"/>
      <c r="F267" s="16"/>
      <c r="G267" s="16"/>
      <c r="H267" s="16"/>
      <c r="I267" s="16"/>
      <c r="J267" s="38"/>
      <c r="K267" s="52"/>
      <c r="L267" s="52"/>
      <c r="M267" s="16"/>
      <c r="N267" s="16"/>
      <c r="O267" s="16"/>
      <c r="P267" s="38"/>
      <c r="Q267" s="38"/>
      <c r="R267" s="38"/>
      <c r="S267" s="38"/>
    </row>
    <row r="268" spans="1:19" s="2" customFormat="1" ht="15.75" hidden="1">
      <c r="A268" s="16"/>
      <c r="B268" s="16"/>
      <c r="C268" s="16"/>
      <c r="D268" s="51"/>
      <c r="E268" s="51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38"/>
      <c r="Q268" s="38"/>
      <c r="R268" s="38"/>
      <c r="S268" s="38"/>
    </row>
    <row r="269" spans="1:19" s="2" customFormat="1" ht="15.75" hidden="1">
      <c r="A269" s="16"/>
      <c r="B269" s="16"/>
      <c r="C269" s="16"/>
      <c r="D269" s="51"/>
      <c r="E269" s="51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38"/>
      <c r="Q269" s="38"/>
      <c r="R269" s="38"/>
      <c r="S269" s="38"/>
    </row>
    <row r="270" spans="1:19" s="2" customFormat="1" ht="15.75" hidden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1:19" s="2" customFormat="1" ht="15.75" hidden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1:19" s="2" customFormat="1" ht="15.75" hidden="1">
      <c r="A272" s="48"/>
      <c r="B272" s="48"/>
      <c r="C272" s="48"/>
      <c r="D272" s="48"/>
      <c r="E272" s="48"/>
      <c r="F272" s="48"/>
      <c r="G272" s="48"/>
      <c r="H272" s="48"/>
      <c r="I272" s="48"/>
      <c r="J272" s="93"/>
      <c r="K272" s="244" t="s">
        <v>100</v>
      </c>
      <c r="L272" s="244"/>
      <c r="M272" s="244"/>
      <c r="N272" s="244"/>
      <c r="O272" s="244"/>
      <c r="P272" s="244"/>
      <c r="Q272" s="244"/>
      <c r="R272" s="244"/>
      <c r="S272" s="244"/>
    </row>
    <row r="273" spans="1:19" s="2" customFormat="1" ht="35.25" customHeight="1" hidden="1">
      <c r="A273" s="48"/>
      <c r="B273" s="48"/>
      <c r="C273" s="48"/>
      <c r="D273" s="48"/>
      <c r="E273" s="48"/>
      <c r="F273" s="48"/>
      <c r="G273" s="48"/>
      <c r="H273" s="48"/>
      <c r="I273" s="48"/>
      <c r="J273" s="206" t="s">
        <v>94</v>
      </c>
      <c r="K273" s="206"/>
      <c r="L273" s="206"/>
      <c r="M273" s="206"/>
      <c r="N273" s="206"/>
      <c r="O273" s="206"/>
      <c r="P273" s="206"/>
      <c r="Q273" s="62"/>
      <c r="R273" s="62"/>
      <c r="S273" s="93"/>
    </row>
    <row r="274" spans="1:19" s="2" customFormat="1" ht="15.75" hidden="1">
      <c r="A274" s="16"/>
      <c r="B274" s="16"/>
      <c r="C274" s="16"/>
      <c r="D274" s="16"/>
      <c r="E274" s="16"/>
      <c r="F274" s="16"/>
      <c r="G274" s="16"/>
      <c r="H274" s="16"/>
      <c r="I274" s="16"/>
      <c r="J274" s="244" t="s">
        <v>83</v>
      </c>
      <c r="K274" s="244"/>
      <c r="L274" s="244"/>
      <c r="M274" s="244"/>
      <c r="N274" s="244"/>
      <c r="O274" s="244"/>
      <c r="P274" s="244"/>
      <c r="Q274" s="94"/>
      <c r="R274" s="94"/>
      <c r="S274" s="56"/>
    </row>
    <row r="275" spans="1:19" s="2" customFormat="1" ht="15.75" hidden="1">
      <c r="A275" s="16"/>
      <c r="B275" s="16"/>
      <c r="C275" s="16"/>
      <c r="D275" s="16"/>
      <c r="E275" s="16"/>
      <c r="F275" s="16"/>
      <c r="G275" s="16"/>
      <c r="H275" s="16"/>
      <c r="I275" s="16"/>
      <c r="J275" s="67" t="s">
        <v>96</v>
      </c>
      <c r="K275" s="67"/>
      <c r="L275" s="67"/>
      <c r="M275" s="67"/>
      <c r="N275" s="67"/>
      <c r="O275" s="67"/>
      <c r="P275" s="67"/>
      <c r="Q275" s="94"/>
      <c r="R275" s="94"/>
      <c r="S275" s="56"/>
    </row>
    <row r="276" spans="1:19" s="2" customFormat="1" ht="15.75" hidden="1">
      <c r="A276" s="16"/>
      <c r="B276" s="245" t="s">
        <v>85</v>
      </c>
      <c r="C276" s="245"/>
      <c r="D276" s="245"/>
      <c r="E276" s="245"/>
      <c r="F276" s="245"/>
      <c r="G276" s="245"/>
      <c r="H276" s="245"/>
      <c r="I276" s="16"/>
      <c r="J276" s="66"/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s="2" customFormat="1" ht="15.75" hidden="1">
      <c r="A277" s="5"/>
      <c r="B277" s="13"/>
      <c r="C277" s="14"/>
      <c r="D277" s="5"/>
      <c r="E277" s="5"/>
      <c r="F277" s="5"/>
      <c r="G277" s="5"/>
      <c r="H277" s="5"/>
      <c r="I277" s="5"/>
      <c r="J277" s="212"/>
      <c r="K277" s="212"/>
      <c r="L277" s="212"/>
      <c r="M277" s="212"/>
      <c r="N277" s="212"/>
      <c r="O277" s="212"/>
      <c r="P277" s="212"/>
      <c r="Q277" s="111"/>
      <c r="R277" s="111"/>
      <c r="S277" s="5"/>
    </row>
    <row r="278" spans="1:19" s="2" customFormat="1" ht="18.75" hidden="1">
      <c r="A278" s="5"/>
      <c r="B278" s="246" t="s">
        <v>72</v>
      </c>
      <c r="C278" s="246"/>
      <c r="D278" s="246"/>
      <c r="E278" s="246"/>
      <c r="F278" s="246"/>
      <c r="G278" s="246"/>
      <c r="H278" s="246"/>
      <c r="I278" s="5"/>
      <c r="J278" s="212"/>
      <c r="K278" s="212"/>
      <c r="L278" s="212"/>
      <c r="M278" s="212"/>
      <c r="N278" s="212"/>
      <c r="O278" s="212"/>
      <c r="P278" s="212"/>
      <c r="Q278" s="111"/>
      <c r="R278" s="111"/>
      <c r="S278" s="5"/>
    </row>
    <row r="279" spans="1:19" s="2" customFormat="1" ht="15.75" hidden="1">
      <c r="A279" s="5"/>
      <c r="B279" s="211" t="s">
        <v>16</v>
      </c>
      <c r="C279" s="211"/>
      <c r="D279" s="211"/>
      <c r="E279" s="211"/>
      <c r="F279" s="211"/>
      <c r="G279" s="211"/>
      <c r="H279" s="211"/>
      <c r="I279" s="5"/>
      <c r="J279" s="16"/>
      <c r="K279" s="16"/>
      <c r="L279" s="16"/>
      <c r="M279" s="16"/>
      <c r="N279" s="16"/>
      <c r="O279" s="16"/>
      <c r="P279" s="16"/>
      <c r="Q279" s="16"/>
      <c r="R279" s="16"/>
      <c r="S279" s="5"/>
    </row>
    <row r="280" spans="1:19" s="2" customFormat="1" ht="15.75" hidden="1">
      <c r="A280" s="5"/>
      <c r="B280" s="5"/>
      <c r="C280" s="5"/>
      <c r="D280" s="5"/>
      <c r="E280" s="5"/>
      <c r="F280" s="5"/>
      <c r="G280" s="5"/>
      <c r="H280" s="5"/>
      <c r="I280" s="5"/>
      <c r="J280" s="16"/>
      <c r="K280" s="16"/>
      <c r="L280" s="16"/>
      <c r="M280" s="16"/>
      <c r="N280" s="16"/>
      <c r="O280" s="16"/>
      <c r="P280" s="16"/>
      <c r="Q280" s="16"/>
      <c r="R280" s="16"/>
      <c r="S280" s="5"/>
    </row>
    <row r="281" spans="1:19" s="2" customFormat="1" ht="15.75" hidden="1">
      <c r="A281" s="5"/>
      <c r="B281" s="5"/>
      <c r="C281" s="5"/>
      <c r="D281" s="5"/>
      <c r="E281" s="5"/>
      <c r="F281" s="5"/>
      <c r="G281" s="5"/>
      <c r="H281" s="5"/>
      <c r="I281" s="5"/>
      <c r="J281" s="16"/>
      <c r="K281" s="16"/>
      <c r="L281" s="16"/>
      <c r="M281" s="16"/>
      <c r="N281" s="16"/>
      <c r="O281" s="16"/>
      <c r="P281" s="16"/>
      <c r="Q281" s="16"/>
      <c r="R281" s="16"/>
      <c r="S281" s="5"/>
    </row>
    <row r="282" spans="1:19" s="2" customFormat="1" ht="15.75" hidden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s="2" customFormat="1" ht="12.75" customHeight="1" hidden="1">
      <c r="A283" s="234" t="s">
        <v>1</v>
      </c>
      <c r="B283" s="68" t="s">
        <v>2</v>
      </c>
      <c r="C283" s="69" t="s">
        <v>4</v>
      </c>
      <c r="D283" s="236" t="s">
        <v>75</v>
      </c>
      <c r="E283" s="237" t="s">
        <v>76</v>
      </c>
      <c r="F283" s="59" t="s">
        <v>35</v>
      </c>
      <c r="G283" s="140"/>
      <c r="H283" s="141" t="s">
        <v>36</v>
      </c>
      <c r="I283" s="238" t="s">
        <v>8</v>
      </c>
      <c r="J283" s="239"/>
      <c r="K283" s="239"/>
      <c r="L283" s="239"/>
      <c r="M283" s="239"/>
      <c r="N283" s="239"/>
      <c r="O283" s="240"/>
      <c r="P283" s="68" t="s">
        <v>13</v>
      </c>
      <c r="Q283" s="241" t="s">
        <v>78</v>
      </c>
      <c r="R283" s="221" t="s">
        <v>84</v>
      </c>
      <c r="S283" s="69" t="s">
        <v>13</v>
      </c>
    </row>
    <row r="284" spans="1:19" s="2" customFormat="1" ht="12.75" customHeight="1" hidden="1">
      <c r="A284" s="235"/>
      <c r="B284" s="73" t="s">
        <v>3</v>
      </c>
      <c r="C284" s="73" t="s">
        <v>5</v>
      </c>
      <c r="D284" s="236"/>
      <c r="E284" s="237"/>
      <c r="F284" s="224">
        <v>0.5</v>
      </c>
      <c r="G284" s="95"/>
      <c r="H284" s="224" t="s">
        <v>71</v>
      </c>
      <c r="I284" s="203"/>
      <c r="J284" s="225"/>
      <c r="K284" s="224"/>
      <c r="L284" s="95"/>
      <c r="M284" s="230" t="s">
        <v>48</v>
      </c>
      <c r="N284" s="225" t="s">
        <v>49</v>
      </c>
      <c r="O284" s="233"/>
      <c r="P284" s="73" t="s">
        <v>11</v>
      </c>
      <c r="Q284" s="242"/>
      <c r="R284" s="222"/>
      <c r="S284" s="74" t="s">
        <v>32</v>
      </c>
    </row>
    <row r="285" spans="1:19" s="2" customFormat="1" ht="12.75" customHeight="1" hidden="1">
      <c r="A285" s="235"/>
      <c r="B285" s="73"/>
      <c r="C285" s="73" t="s">
        <v>6</v>
      </c>
      <c r="D285" s="236"/>
      <c r="E285" s="237"/>
      <c r="F285" s="204"/>
      <c r="G285" s="97"/>
      <c r="H285" s="204"/>
      <c r="I285" s="204"/>
      <c r="J285" s="226"/>
      <c r="K285" s="228"/>
      <c r="L285" s="181"/>
      <c r="M285" s="231"/>
      <c r="N285" s="226"/>
      <c r="O285" s="226"/>
      <c r="P285" s="98" t="s">
        <v>12</v>
      </c>
      <c r="Q285" s="242"/>
      <c r="R285" s="222"/>
      <c r="S285" s="74"/>
    </row>
    <row r="286" spans="1:19" s="2" customFormat="1" ht="12.75" customHeight="1" hidden="1">
      <c r="A286" s="72"/>
      <c r="B286" s="73"/>
      <c r="C286" s="73"/>
      <c r="D286" s="236"/>
      <c r="E286" s="237"/>
      <c r="F286" s="204"/>
      <c r="G286" s="97"/>
      <c r="H286" s="204"/>
      <c r="I286" s="204"/>
      <c r="J286" s="226"/>
      <c r="K286" s="228"/>
      <c r="L286" s="181"/>
      <c r="M286" s="231"/>
      <c r="N286" s="226"/>
      <c r="O286" s="226"/>
      <c r="P286" s="98" t="s">
        <v>50</v>
      </c>
      <c r="Q286" s="242"/>
      <c r="R286" s="222"/>
      <c r="S286" s="74" t="s">
        <v>50</v>
      </c>
    </row>
    <row r="287" spans="1:19" s="2" customFormat="1" ht="51" customHeight="1" hidden="1">
      <c r="A287" s="75"/>
      <c r="B287" s="77"/>
      <c r="C287" s="77"/>
      <c r="D287" s="236"/>
      <c r="E287" s="237"/>
      <c r="F287" s="205"/>
      <c r="G287" s="99"/>
      <c r="H287" s="205"/>
      <c r="I287" s="205"/>
      <c r="J287" s="227"/>
      <c r="K287" s="229"/>
      <c r="L287" s="182"/>
      <c r="M287" s="232"/>
      <c r="N287" s="227"/>
      <c r="O287" s="227"/>
      <c r="P287" s="76"/>
      <c r="Q287" s="243"/>
      <c r="R287" s="223"/>
      <c r="S287" s="78"/>
    </row>
    <row r="288" spans="1:19" s="2" customFormat="1" ht="50.25" customHeight="1" hidden="1">
      <c r="A288" s="139">
        <v>1</v>
      </c>
      <c r="B288" s="80" t="s">
        <v>74</v>
      </c>
      <c r="C288" s="78"/>
      <c r="D288" s="81"/>
      <c r="E288" s="91"/>
      <c r="F288" s="88"/>
      <c r="G288" s="88"/>
      <c r="H288" s="88"/>
      <c r="I288" s="83"/>
      <c r="J288" s="83"/>
      <c r="K288" s="83"/>
      <c r="L288" s="83"/>
      <c r="M288" s="83"/>
      <c r="N288" s="83"/>
      <c r="O288" s="83"/>
      <c r="P288" s="84"/>
      <c r="Q288" s="84"/>
      <c r="R288" s="84"/>
      <c r="S288" s="84">
        <f>R288*12</f>
        <v>0</v>
      </c>
    </row>
    <row r="289" spans="1:19" s="2" customFormat="1" ht="21" customHeight="1" hidden="1">
      <c r="A289" s="139"/>
      <c r="B289" s="57"/>
      <c r="C289" s="57"/>
      <c r="D289" s="81"/>
      <c r="E289" s="91"/>
      <c r="F289" s="88"/>
      <c r="G289" s="88"/>
      <c r="H289" s="11"/>
      <c r="I289" s="60"/>
      <c r="J289" s="60"/>
      <c r="K289" s="60"/>
      <c r="L289" s="60"/>
      <c r="M289" s="60"/>
      <c r="N289" s="60"/>
      <c r="O289" s="60"/>
      <c r="P289" s="84"/>
      <c r="Q289" s="84"/>
      <c r="R289" s="84"/>
      <c r="S289" s="84">
        <f aca="true" t="shared" si="19" ref="S289:S296">R289*12</f>
        <v>0</v>
      </c>
    </row>
    <row r="290" spans="1:19" s="2" customFormat="1" ht="32.25" customHeight="1" hidden="1">
      <c r="A290" s="139">
        <v>2</v>
      </c>
      <c r="B290" s="158" t="s">
        <v>93</v>
      </c>
      <c r="C290" s="57"/>
      <c r="D290" s="81"/>
      <c r="E290" s="91"/>
      <c r="F290" s="88"/>
      <c r="G290" s="88"/>
      <c r="H290" s="11"/>
      <c r="I290" s="60"/>
      <c r="J290" s="60"/>
      <c r="K290" s="60"/>
      <c r="L290" s="60"/>
      <c r="M290" s="60"/>
      <c r="N290" s="60"/>
      <c r="O290" s="60"/>
      <c r="P290" s="84"/>
      <c r="Q290" s="84"/>
      <c r="R290" s="84"/>
      <c r="S290" s="84">
        <f t="shared" si="19"/>
        <v>0</v>
      </c>
    </row>
    <row r="291" spans="1:19" s="2" customFormat="1" ht="34.5" customHeight="1" hidden="1">
      <c r="A291" s="139"/>
      <c r="B291" s="158"/>
      <c r="C291" s="57"/>
      <c r="D291" s="81"/>
      <c r="E291" s="91"/>
      <c r="F291" s="88"/>
      <c r="G291" s="88"/>
      <c r="H291" s="11"/>
      <c r="I291" s="60"/>
      <c r="J291" s="60"/>
      <c r="K291" s="60"/>
      <c r="L291" s="60"/>
      <c r="M291" s="60"/>
      <c r="N291" s="60"/>
      <c r="O291" s="60"/>
      <c r="P291" s="84"/>
      <c r="Q291" s="84"/>
      <c r="R291" s="84"/>
      <c r="S291" s="84">
        <f t="shared" si="19"/>
        <v>0</v>
      </c>
    </row>
    <row r="292" spans="1:19" s="2" customFormat="1" ht="33.75" customHeight="1" hidden="1">
      <c r="A292" s="139">
        <v>4</v>
      </c>
      <c r="B292" s="158" t="s">
        <v>25</v>
      </c>
      <c r="C292" s="57"/>
      <c r="D292" s="81"/>
      <c r="E292" s="91"/>
      <c r="F292" s="88"/>
      <c r="G292" s="88"/>
      <c r="H292" s="11"/>
      <c r="I292" s="60"/>
      <c r="J292" s="60"/>
      <c r="K292" s="60"/>
      <c r="L292" s="60"/>
      <c r="M292" s="60"/>
      <c r="N292" s="60"/>
      <c r="O292" s="60"/>
      <c r="P292" s="84"/>
      <c r="Q292" s="115"/>
      <c r="R292" s="84"/>
      <c r="S292" s="84">
        <f t="shared" si="19"/>
        <v>0</v>
      </c>
    </row>
    <row r="293" spans="1:19" s="2" customFormat="1" ht="32.25" customHeight="1" hidden="1">
      <c r="A293" s="139"/>
      <c r="B293" s="158"/>
      <c r="C293" s="57"/>
      <c r="D293" s="81"/>
      <c r="E293" s="91"/>
      <c r="F293" s="88"/>
      <c r="G293" s="88"/>
      <c r="H293" s="11"/>
      <c r="I293" s="60"/>
      <c r="J293" s="60"/>
      <c r="K293" s="60"/>
      <c r="L293" s="60"/>
      <c r="M293" s="60"/>
      <c r="N293" s="60"/>
      <c r="O293" s="60"/>
      <c r="P293" s="84"/>
      <c r="Q293" s="115"/>
      <c r="R293" s="84"/>
      <c r="S293" s="84">
        <f t="shared" si="19"/>
        <v>0</v>
      </c>
    </row>
    <row r="294" spans="1:19" s="2" customFormat="1" ht="32.25" customHeight="1" hidden="1">
      <c r="A294" s="139">
        <v>5</v>
      </c>
      <c r="B294" s="159" t="s">
        <v>25</v>
      </c>
      <c r="C294" s="122"/>
      <c r="D294" s="118"/>
      <c r="E294" s="149"/>
      <c r="F294" s="150"/>
      <c r="G294" s="150"/>
      <c r="H294" s="126"/>
      <c r="I294" s="119"/>
      <c r="J294" s="119"/>
      <c r="K294" s="119"/>
      <c r="L294" s="119"/>
      <c r="M294" s="119"/>
      <c r="N294" s="119"/>
      <c r="O294" s="119"/>
      <c r="P294" s="128"/>
      <c r="Q294" s="151"/>
      <c r="R294" s="128"/>
      <c r="S294" s="84">
        <f t="shared" si="19"/>
        <v>0</v>
      </c>
    </row>
    <row r="295" spans="1:19" s="2" customFormat="1" ht="32.25" customHeight="1" hidden="1">
      <c r="A295" s="139">
        <v>6</v>
      </c>
      <c r="B295" s="158" t="s">
        <v>33</v>
      </c>
      <c r="C295" s="57"/>
      <c r="D295" s="81"/>
      <c r="E295" s="91"/>
      <c r="F295" s="88"/>
      <c r="G295" s="88"/>
      <c r="H295" s="11"/>
      <c r="I295" s="60"/>
      <c r="J295" s="60"/>
      <c r="K295" s="60"/>
      <c r="L295" s="60"/>
      <c r="M295" s="60"/>
      <c r="N295" s="60"/>
      <c r="O295" s="60"/>
      <c r="P295" s="84"/>
      <c r="Q295" s="115"/>
      <c r="R295" s="84"/>
      <c r="S295" s="84">
        <f t="shared" si="19"/>
        <v>0</v>
      </c>
    </row>
    <row r="296" spans="1:19" s="2" customFormat="1" ht="30" customHeight="1" hidden="1">
      <c r="A296" s="139">
        <v>7</v>
      </c>
      <c r="B296" s="158" t="s">
        <v>34</v>
      </c>
      <c r="C296" s="57"/>
      <c r="D296" s="81"/>
      <c r="E296" s="91"/>
      <c r="F296" s="88"/>
      <c r="G296" s="88"/>
      <c r="H296" s="11"/>
      <c r="I296" s="60"/>
      <c r="J296" s="60"/>
      <c r="K296" s="60"/>
      <c r="L296" s="60"/>
      <c r="M296" s="60"/>
      <c r="N296" s="60"/>
      <c r="O296" s="60"/>
      <c r="P296" s="84"/>
      <c r="Q296" s="115"/>
      <c r="R296" s="84"/>
      <c r="S296" s="84">
        <f t="shared" si="19"/>
        <v>0</v>
      </c>
    </row>
    <row r="297" spans="1:19" s="2" customFormat="1" ht="30.75" customHeight="1" hidden="1">
      <c r="A297" s="139">
        <v>8</v>
      </c>
      <c r="B297" s="57" t="s">
        <v>46</v>
      </c>
      <c r="C297" s="57"/>
      <c r="D297" s="81"/>
      <c r="E297" s="91"/>
      <c r="F297" s="11"/>
      <c r="G297" s="11"/>
      <c r="H297" s="11"/>
      <c r="I297" s="60"/>
      <c r="J297" s="60"/>
      <c r="K297" s="60"/>
      <c r="L297" s="60"/>
      <c r="M297" s="60"/>
      <c r="N297" s="60"/>
      <c r="O297" s="60"/>
      <c r="P297" s="84"/>
      <c r="Q297" s="115"/>
      <c r="R297" s="84"/>
      <c r="S297" s="84">
        <f>P297*12</f>
        <v>0</v>
      </c>
    </row>
    <row r="298" spans="1:19" s="2" customFormat="1" ht="23.25" customHeight="1" hidden="1">
      <c r="A298" s="215">
        <v>8</v>
      </c>
      <c r="B298" s="125"/>
      <c r="C298" s="217"/>
      <c r="D298" s="118"/>
      <c r="E298" s="149"/>
      <c r="F298" s="219"/>
      <c r="G298" s="152"/>
      <c r="H298" s="219"/>
      <c r="I298" s="207"/>
      <c r="J298" s="207"/>
      <c r="K298" s="207"/>
      <c r="L298" s="177"/>
      <c r="M298" s="209"/>
      <c r="N298" s="207"/>
      <c r="O298" s="207"/>
      <c r="P298" s="128"/>
      <c r="Q298" s="151"/>
      <c r="R298" s="128"/>
      <c r="S298" s="128"/>
    </row>
    <row r="299" spans="1:19" s="2" customFormat="1" ht="47.25" hidden="1">
      <c r="A299" s="216"/>
      <c r="B299" s="127" t="s">
        <v>55</v>
      </c>
      <c r="C299" s="218"/>
      <c r="D299" s="118"/>
      <c r="E299" s="149"/>
      <c r="F299" s="220"/>
      <c r="G299" s="153"/>
      <c r="H299" s="220"/>
      <c r="I299" s="208"/>
      <c r="J299" s="208"/>
      <c r="K299" s="208"/>
      <c r="L299" s="178"/>
      <c r="M299" s="210"/>
      <c r="N299" s="208"/>
      <c r="O299" s="208"/>
      <c r="P299" s="128"/>
      <c r="Q299" s="151"/>
      <c r="R299" s="128"/>
      <c r="S299" s="128"/>
    </row>
    <row r="300" spans="1:19" s="2" customFormat="1" ht="15.75" hidden="1">
      <c r="A300" s="70"/>
      <c r="B300" s="100"/>
      <c r="C300" s="57"/>
      <c r="D300" s="81"/>
      <c r="E300" s="114"/>
      <c r="F300" s="11"/>
      <c r="G300" s="11"/>
      <c r="H300" s="11"/>
      <c r="I300" s="60"/>
      <c r="J300" s="60"/>
      <c r="K300" s="60"/>
      <c r="L300" s="60"/>
      <c r="M300" s="60"/>
      <c r="N300" s="60"/>
      <c r="O300" s="60"/>
      <c r="P300" s="84"/>
      <c r="Q300" s="115"/>
      <c r="R300" s="84"/>
      <c r="S300" s="84"/>
    </row>
    <row r="301" spans="1:19" s="2" customFormat="1" ht="15.75" hidden="1">
      <c r="A301" s="57"/>
      <c r="B301" s="101"/>
      <c r="C301" s="101"/>
      <c r="D301" s="101"/>
      <c r="E301" s="135"/>
      <c r="F301" s="92"/>
      <c r="G301" s="92"/>
      <c r="H301" s="92"/>
      <c r="I301" s="101"/>
      <c r="J301" s="101"/>
      <c r="K301" s="60"/>
      <c r="L301" s="60"/>
      <c r="M301" s="60"/>
      <c r="N301" s="60"/>
      <c r="O301" s="60"/>
      <c r="P301" s="84"/>
      <c r="Q301" s="115"/>
      <c r="R301" s="84"/>
      <c r="S301" s="84"/>
    </row>
    <row r="302" spans="1:19" s="2" customFormat="1" ht="15.75" hidden="1">
      <c r="A302" s="57"/>
      <c r="B302" s="57"/>
      <c r="C302" s="57"/>
      <c r="D302" s="81"/>
      <c r="E302" s="114"/>
      <c r="F302" s="11"/>
      <c r="G302" s="11"/>
      <c r="H302" s="11"/>
      <c r="I302" s="60"/>
      <c r="J302" s="60"/>
      <c r="K302" s="60"/>
      <c r="L302" s="60"/>
      <c r="M302" s="60"/>
      <c r="N302" s="60"/>
      <c r="O302" s="60"/>
      <c r="P302" s="84"/>
      <c r="Q302" s="115"/>
      <c r="R302" s="84"/>
      <c r="S302" s="84"/>
    </row>
    <row r="303" spans="1:19" s="2" customFormat="1" ht="15.75" hidden="1">
      <c r="A303" s="57"/>
      <c r="B303" s="57"/>
      <c r="C303" s="57"/>
      <c r="D303" s="86"/>
      <c r="E303" s="143"/>
      <c r="F303" s="11"/>
      <c r="G303" s="11"/>
      <c r="H303" s="11"/>
      <c r="I303" s="60"/>
      <c r="J303" s="60"/>
      <c r="K303" s="60"/>
      <c r="L303" s="60"/>
      <c r="M303" s="60"/>
      <c r="N303" s="60"/>
      <c r="O303" s="60"/>
      <c r="P303" s="84"/>
      <c r="Q303" s="115"/>
      <c r="R303" s="84"/>
      <c r="S303" s="84"/>
    </row>
    <row r="304" spans="1:19" s="2" customFormat="1" ht="21.75" customHeight="1" hidden="1">
      <c r="A304" s="57"/>
      <c r="B304" s="57" t="s">
        <v>15</v>
      </c>
      <c r="C304" s="58"/>
      <c r="D304" s="86"/>
      <c r="E304" s="143"/>
      <c r="F304" s="89"/>
      <c r="G304" s="89"/>
      <c r="H304" s="89"/>
      <c r="I304" s="60"/>
      <c r="J304" s="60"/>
      <c r="K304" s="60"/>
      <c r="L304" s="60"/>
      <c r="M304" s="60"/>
      <c r="N304" s="60"/>
      <c r="O304" s="58"/>
      <c r="P304" s="102"/>
      <c r="Q304" s="144"/>
      <c r="R304" s="102"/>
      <c r="S304" s="102">
        <f>SUM(S288:S296)</f>
        <v>0</v>
      </c>
    </row>
    <row r="305" spans="1:19" s="2" customFormat="1" ht="15.75" hidden="1">
      <c r="A305" s="214"/>
      <c r="B305" s="214"/>
      <c r="C305" s="214"/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</row>
    <row r="306" spans="1:19" s="2" customFormat="1" ht="15.75" hidden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</row>
    <row r="307" spans="1:19" s="2" customFormat="1" ht="15.75" hidden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10"/>
    </row>
    <row r="308" spans="1:19" s="2" customFormat="1" ht="15.75" hidden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10"/>
      <c r="Q308" s="10"/>
      <c r="R308" s="10"/>
      <c r="S308" s="54"/>
    </row>
    <row r="309" spans="1:22" s="2" customFormat="1" ht="15.75" hidden="1">
      <c r="A309" s="165"/>
      <c r="B309" s="168"/>
      <c r="C309" s="168"/>
      <c r="D309" s="169" t="s">
        <v>97</v>
      </c>
      <c r="E309" s="170"/>
      <c r="F309" s="171"/>
      <c r="G309" s="172"/>
      <c r="H309" s="172"/>
      <c r="I309" s="172"/>
      <c r="J309" s="172"/>
      <c r="K309" s="172" t="s">
        <v>98</v>
      </c>
      <c r="L309" s="172"/>
      <c r="M309" s="172"/>
      <c r="N309" s="166"/>
      <c r="O309" s="166"/>
      <c r="P309" s="166"/>
      <c r="Q309" s="166"/>
      <c r="R309" s="166"/>
      <c r="S309" s="167"/>
      <c r="T309" s="167"/>
      <c r="U309" s="167"/>
      <c r="V309" s="167"/>
    </row>
    <row r="310" spans="1:19" s="2" customFormat="1" ht="15" hidden="1">
      <c r="A310" s="202"/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</row>
    <row r="311" spans="1:19" s="2" customFormat="1" ht="18.75" hidden="1">
      <c r="A311" s="6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66"/>
      <c r="P311" s="66"/>
      <c r="Q311" s="66"/>
      <c r="R311" s="66"/>
      <c r="S311" s="173">
        <f>R112+R44+R304</f>
        <v>684975.2374999998</v>
      </c>
    </row>
    <row r="312" spans="1:19" s="2" customFormat="1" ht="15.75" hidden="1">
      <c r="A312" s="61"/>
      <c r="B312" s="61"/>
      <c r="C312" s="62"/>
      <c r="D312" s="61"/>
      <c r="E312" s="61"/>
      <c r="F312" s="61"/>
      <c r="G312" s="61"/>
      <c r="H312" s="61"/>
      <c r="I312" s="61"/>
      <c r="J312" s="62"/>
      <c r="K312" s="61"/>
      <c r="L312" s="61"/>
      <c r="M312" s="61"/>
      <c r="N312" s="61"/>
      <c r="O312" s="61"/>
      <c r="P312" s="61"/>
      <c r="Q312" s="61"/>
      <c r="R312" s="61"/>
      <c r="S312" s="61"/>
    </row>
    <row r="313" spans="1:19" s="2" customFormat="1" ht="15" hidden="1">
      <c r="A313" s="202"/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</row>
    <row r="314" spans="1:19" s="2" customFormat="1" ht="15" hidden="1">
      <c r="A314" s="61"/>
      <c r="B314" s="64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</row>
    <row r="315" spans="2:18" s="2" customFormat="1" ht="15" hidden="1">
      <c r="B315" s="64"/>
      <c r="M315" s="61"/>
      <c r="N315" s="61"/>
      <c r="O315" s="61"/>
      <c r="P315" s="161"/>
      <c r="R315" s="4"/>
    </row>
    <row r="316" spans="1:19" s="2" customFormat="1" ht="15.75" hidden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2"/>
      <c r="N316" s="62"/>
      <c r="O316" s="62"/>
      <c r="P316" s="161"/>
      <c r="Q316" s="5"/>
      <c r="R316" s="10"/>
      <c r="S316" s="5"/>
    </row>
    <row r="317" spans="1:19" s="2" customFormat="1" ht="15.75" hidden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62"/>
      <c r="N317" s="162"/>
      <c r="O317" s="162"/>
      <c r="P317" s="163"/>
      <c r="Q317" s="55"/>
      <c r="R317" s="55"/>
      <c r="S317" s="55"/>
    </row>
    <row r="318" spans="1:19" s="2" customFormat="1" ht="15.75" hidden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</row>
    <row r="319" spans="1:19" s="2" customFormat="1" ht="15.75" hidden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</row>
    <row r="320" ht="12.75" hidden="1">
      <c r="B320" s="160"/>
    </row>
  </sheetData>
  <sheetProtection/>
  <mergeCells count="126">
    <mergeCell ref="B5:H5"/>
    <mergeCell ref="B6:H6"/>
    <mergeCell ref="B7:H7"/>
    <mergeCell ref="K9:S9"/>
    <mergeCell ref="R11:R15"/>
    <mergeCell ref="N12:N15"/>
    <mergeCell ref="M11:O11"/>
    <mergeCell ref="H11:J11"/>
    <mergeCell ref="A63:S63"/>
    <mergeCell ref="Q11:Q15"/>
    <mergeCell ref="F11:F15"/>
    <mergeCell ref="I12:I15"/>
    <mergeCell ref="J12:J15"/>
    <mergeCell ref="L12:L15"/>
    <mergeCell ref="O12:O15"/>
    <mergeCell ref="J73:P73"/>
    <mergeCell ref="B76:H76"/>
    <mergeCell ref="B77:H77"/>
    <mergeCell ref="A11:A13"/>
    <mergeCell ref="D11:D15"/>
    <mergeCell ref="E11:E15"/>
    <mergeCell ref="H12:H15"/>
    <mergeCell ref="A56:S56"/>
    <mergeCell ref="K12:K15"/>
    <mergeCell ref="M12:M15"/>
    <mergeCell ref="B78:I78"/>
    <mergeCell ref="A82:A84"/>
    <mergeCell ref="D82:D86"/>
    <mergeCell ref="E82:E86"/>
    <mergeCell ref="F82:J82"/>
    <mergeCell ref="K82:K86"/>
    <mergeCell ref="M82:O82"/>
    <mergeCell ref="Q82:Q86"/>
    <mergeCell ref="R82:R86"/>
    <mergeCell ref="F83:F86"/>
    <mergeCell ref="H83:H86"/>
    <mergeCell ref="I83:I86"/>
    <mergeCell ref="J83:J86"/>
    <mergeCell ref="M83:M86"/>
    <mergeCell ref="N83:N86"/>
    <mergeCell ref="O83:O86"/>
    <mergeCell ref="I101:I102"/>
    <mergeCell ref="N101:N102"/>
    <mergeCell ref="A102:A104"/>
    <mergeCell ref="B102:B104"/>
    <mergeCell ref="A120:S120"/>
    <mergeCell ref="O151:O154"/>
    <mergeCell ref="J141:P141"/>
    <mergeCell ref="J143:P143"/>
    <mergeCell ref="B145:F145"/>
    <mergeCell ref="A150:A152"/>
    <mergeCell ref="D150:E154"/>
    <mergeCell ref="F150:G150"/>
    <mergeCell ref="H150:O150"/>
    <mergeCell ref="F151:F154"/>
    <mergeCell ref="G151:G154"/>
    <mergeCell ref="H151:H154"/>
    <mergeCell ref="H209:O209"/>
    <mergeCell ref="F210:F213"/>
    <mergeCell ref="H210:H213"/>
    <mergeCell ref="I210:I213"/>
    <mergeCell ref="J210:J213"/>
    <mergeCell ref="I151:I154"/>
    <mergeCell ref="J151:J154"/>
    <mergeCell ref="K151:K154"/>
    <mergeCell ref="M151:M154"/>
    <mergeCell ref="N151:N154"/>
    <mergeCell ref="A257:A259"/>
    <mergeCell ref="D257:D261"/>
    <mergeCell ref="H257:O257"/>
    <mergeCell ref="F258:F261"/>
    <mergeCell ref="H258:H261"/>
    <mergeCell ref="B169:S169"/>
    <mergeCell ref="A176:P176"/>
    <mergeCell ref="A179:P179"/>
    <mergeCell ref="A209:A211"/>
    <mergeCell ref="D209:D213"/>
    <mergeCell ref="J258:J261"/>
    <mergeCell ref="K258:K261"/>
    <mergeCell ref="M258:M261"/>
    <mergeCell ref="N258:N261"/>
    <mergeCell ref="O258:O261"/>
    <mergeCell ref="K210:K213"/>
    <mergeCell ref="M210:M213"/>
    <mergeCell ref="N210:N213"/>
    <mergeCell ref="O210:O213"/>
    <mergeCell ref="A227:S227"/>
    <mergeCell ref="A283:A285"/>
    <mergeCell ref="D283:D287"/>
    <mergeCell ref="E283:E287"/>
    <mergeCell ref="I283:O283"/>
    <mergeCell ref="Q283:Q287"/>
    <mergeCell ref="K272:S272"/>
    <mergeCell ref="J274:P274"/>
    <mergeCell ref="B276:H276"/>
    <mergeCell ref="J277:P277"/>
    <mergeCell ref="B278:H278"/>
    <mergeCell ref="R283:R287"/>
    <mergeCell ref="F284:F287"/>
    <mergeCell ref="H284:H287"/>
    <mergeCell ref="I284:I287"/>
    <mergeCell ref="J284:J287"/>
    <mergeCell ref="K284:K287"/>
    <mergeCell ref="M284:M287"/>
    <mergeCell ref="N284:N287"/>
    <mergeCell ref="O284:O287"/>
    <mergeCell ref="J278:P278"/>
    <mergeCell ref="I258:I261"/>
    <mergeCell ref="A305:S305"/>
    <mergeCell ref="A313:S313"/>
    <mergeCell ref="A298:A299"/>
    <mergeCell ref="C298:C299"/>
    <mergeCell ref="F298:F299"/>
    <mergeCell ref="H298:H299"/>
    <mergeCell ref="I298:I299"/>
    <mergeCell ref="J298:J299"/>
    <mergeCell ref="P3:S3"/>
    <mergeCell ref="A119:S119"/>
    <mergeCell ref="A310:S310"/>
    <mergeCell ref="G12:G15"/>
    <mergeCell ref="J273:P273"/>
    <mergeCell ref="K298:K299"/>
    <mergeCell ref="M298:M299"/>
    <mergeCell ref="N298:N299"/>
    <mergeCell ref="O298:O299"/>
    <mergeCell ref="B279:H279"/>
  </mergeCells>
  <printOptions horizontalCentered="1"/>
  <pageMargins left="0" right="0" top="0.15748031496062992" bottom="0.1968503937007874" header="0" footer="0"/>
  <pageSetup horizontalDpi="600" verticalDpi="600" orientation="portrait" paperSize="9" scale="64" r:id="rId1"/>
  <rowBreaks count="2" manualBreakCount="2">
    <brk id="70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2020-10-02T05:15:10Z</cp:lastPrinted>
  <dcterms:created xsi:type="dcterms:W3CDTF">2004-04-30T06:23:17Z</dcterms:created>
  <dcterms:modified xsi:type="dcterms:W3CDTF">2020-12-03T13:33:16Z</dcterms:modified>
  <cp:category/>
  <cp:version/>
  <cp:contentType/>
  <cp:contentStatus/>
</cp:coreProperties>
</file>