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425" yWindow="65461" windowWidth="7395" windowHeight="9105" tabRatio="624" activeTab="0"/>
  </bookViews>
  <sheets>
    <sheet name="інші (2)з 01.09.17" sheetId="1" r:id="rId1"/>
    <sheet name="школи з 01.09.17р." sheetId="2" r:id="rId2"/>
  </sheets>
  <externalReferences>
    <externalReference r:id="rId5"/>
    <externalReference r:id="rId6"/>
    <externalReference r:id="rId7"/>
  </externalReferences>
  <definedNames>
    <definedName name="_xlnm.Print_Area" localSheetId="0">'інші (2)з 01.09.17'!$A$1:$T$663</definedName>
    <definedName name="_xlnm.Print_Area" localSheetId="1">'школи з 01.09.17р.'!$A$1:$R$731</definedName>
  </definedNames>
  <calcPr fullCalcOnLoad="1"/>
</workbook>
</file>

<file path=xl/sharedStrings.xml><?xml version="1.0" encoding="utf-8"?>
<sst xmlns="http://schemas.openxmlformats.org/spreadsheetml/2006/main" count="1325" uniqueCount="414">
  <si>
    <t>Штатний розпис</t>
  </si>
  <si>
    <t>№</t>
  </si>
  <si>
    <t>назва структурного</t>
  </si>
  <si>
    <t>підрозділу та посада</t>
  </si>
  <si>
    <t>кільк</t>
  </si>
  <si>
    <t>штат</t>
  </si>
  <si>
    <t>посад</t>
  </si>
  <si>
    <t>надбавки</t>
  </si>
  <si>
    <t>доплати</t>
  </si>
  <si>
    <t>класн.</t>
  </si>
  <si>
    <t>ФНЗ</t>
  </si>
  <si>
    <t>на</t>
  </si>
  <si>
    <t>місяць</t>
  </si>
  <si>
    <t>ФЗП</t>
  </si>
  <si>
    <t>рік</t>
  </si>
  <si>
    <t>ВСЬОГО</t>
  </si>
  <si>
    <t>(назва установи,організації)</t>
  </si>
  <si>
    <t>роботи</t>
  </si>
  <si>
    <t>вислуга</t>
  </si>
  <si>
    <t>оклад</t>
  </si>
  <si>
    <t>Директор</t>
  </si>
  <si>
    <t>Педагог-організатор</t>
  </si>
  <si>
    <t>Вихователь</t>
  </si>
  <si>
    <t>Секретар-друкарка</t>
  </si>
  <si>
    <t>Лаборант</t>
  </si>
  <si>
    <t>Кухар</t>
  </si>
  <si>
    <t xml:space="preserve">Двірник </t>
  </si>
  <si>
    <t>Сторож</t>
  </si>
  <si>
    <t>Пом.вихователя</t>
  </si>
  <si>
    <t>т.4-22-04</t>
  </si>
  <si>
    <t>Двірник</t>
  </si>
  <si>
    <t>Комірник</t>
  </si>
  <si>
    <t>Вихователь ГПД</t>
  </si>
  <si>
    <t>Заступник директора</t>
  </si>
  <si>
    <t xml:space="preserve">Практичний психолог </t>
  </si>
  <si>
    <t>Заступник дирек. з навч.-</t>
  </si>
  <si>
    <t>виховної  роботи</t>
  </si>
  <si>
    <t>Культорганізатор</t>
  </si>
  <si>
    <t>Художник-оформлювач</t>
  </si>
  <si>
    <t>Костюмер</t>
  </si>
  <si>
    <t>за роб.в ІМЦ</t>
  </si>
  <si>
    <t>ДЮСШ</t>
  </si>
  <si>
    <t>Освітлювач</t>
  </si>
  <si>
    <t>Головн.бухгалтер</t>
  </si>
  <si>
    <t>Заст.голов.бухгалтера</t>
  </si>
  <si>
    <t>Спеціал.1 категор</t>
  </si>
  <si>
    <t>Спеціал.2 категор</t>
  </si>
  <si>
    <t>Спеціаліст</t>
  </si>
  <si>
    <t>Приб.служб.приміщень</t>
  </si>
  <si>
    <t>Ст.інженер</t>
  </si>
  <si>
    <t>Додаток № 21</t>
  </si>
  <si>
    <t>Логопедпункт</t>
  </si>
  <si>
    <t>Всього</t>
  </si>
  <si>
    <t>В(з)СШ</t>
  </si>
  <si>
    <t>Господарча група</t>
  </si>
  <si>
    <t>Майстер вироб.навчання</t>
  </si>
  <si>
    <t>з навч.-вихов.роботи</t>
  </si>
  <si>
    <t>на рік</t>
  </si>
  <si>
    <t>Експедитор</t>
  </si>
  <si>
    <t>Калькулятор</t>
  </si>
  <si>
    <t>Машиніст сцени</t>
  </si>
  <si>
    <t>пед.</t>
  </si>
  <si>
    <t>спец</t>
  </si>
  <si>
    <t>МОП</t>
  </si>
  <si>
    <t>всього</t>
  </si>
  <si>
    <t>Додаток №11</t>
  </si>
  <si>
    <t>Механік</t>
  </si>
  <si>
    <t>БТ</t>
  </si>
  <si>
    <t>методкабінет</t>
  </si>
  <si>
    <t>ЦБ</t>
  </si>
  <si>
    <t>Госп.гр.</t>
  </si>
  <si>
    <t>НВЦ</t>
  </si>
  <si>
    <t>апарат</t>
  </si>
  <si>
    <t>з/пл по тариф</t>
  </si>
  <si>
    <t>ст.учит.</t>
  </si>
  <si>
    <t>Оператор комп"ютерного набору</t>
  </si>
  <si>
    <t>надбавка</t>
  </si>
  <si>
    <t>премія</t>
  </si>
  <si>
    <t>від _____   __________  2007р</t>
  </si>
  <si>
    <t>Прибиральник служб.приміщень</t>
  </si>
  <si>
    <t>вих</t>
  </si>
  <si>
    <t>адмін</t>
  </si>
  <si>
    <t>моп</t>
  </si>
  <si>
    <t>Інженер-будівельник</t>
  </si>
  <si>
    <t>Робітник по обслуговуванню електромереж</t>
  </si>
  <si>
    <t>Провідний спеціаліст</t>
  </si>
  <si>
    <t>Технік по обслуговуванню холодильного обладнання</t>
  </si>
  <si>
    <t>до рішення виконкому  №__</t>
  </si>
  <si>
    <t>Керуючий справами  ____________________________В.Д.Сергієнко</t>
  </si>
  <si>
    <t>Виконавець:</t>
  </si>
  <si>
    <t>Г.П.Рубаха</t>
  </si>
  <si>
    <t>Зав.складу</t>
  </si>
  <si>
    <t>за роб в лог.кл.20%</t>
  </si>
  <si>
    <t>с</t>
  </si>
  <si>
    <t>Заступник дирек з навч.-вих.роботи</t>
  </si>
  <si>
    <t>Вихователь ясельної групи</t>
  </si>
  <si>
    <t>Вихователь дошкільної групи</t>
  </si>
  <si>
    <t xml:space="preserve">Інформаційно методичного центру </t>
  </si>
  <si>
    <t>Назва структурного</t>
  </si>
  <si>
    <t xml:space="preserve">Методист </t>
  </si>
  <si>
    <t>Загальноосвітня школа інтернат</t>
  </si>
  <si>
    <t>Методист</t>
  </si>
  <si>
    <t>Спеціаліст І кат.</t>
  </si>
  <si>
    <t>Дитячо-юнацька спортивна школа</t>
  </si>
  <si>
    <t>а</t>
  </si>
  <si>
    <t>сп</t>
  </si>
  <si>
    <t>Оператор газової котельні</t>
  </si>
  <si>
    <t>Оператор газової котельні(сезонний)</t>
  </si>
  <si>
    <t>тариф</t>
  </si>
  <si>
    <t>спецклас.,книж.фонд</t>
  </si>
  <si>
    <t xml:space="preserve">вислуга, </t>
  </si>
  <si>
    <t>за складність та напрудж.12%</t>
  </si>
  <si>
    <t>посадовий оклад,грн.</t>
  </si>
  <si>
    <t>за використання в роботі дез.засобів(10%)</t>
  </si>
  <si>
    <t>за роботу в нічний час</t>
  </si>
  <si>
    <t>грн.</t>
  </si>
  <si>
    <t>11тар.розряд</t>
  </si>
  <si>
    <t>8тар.розряд</t>
  </si>
  <si>
    <t>6тар.розряд</t>
  </si>
  <si>
    <t>2тар.розряд</t>
  </si>
  <si>
    <t>1тар.розряд</t>
  </si>
  <si>
    <t>5тар.розряд</t>
  </si>
  <si>
    <t>9тар.розряд</t>
  </si>
  <si>
    <t>12тар.розряд</t>
  </si>
  <si>
    <t>4тар.розряд</t>
  </si>
  <si>
    <t>10тар.розряд</t>
  </si>
  <si>
    <t>95% від оклада директора</t>
  </si>
  <si>
    <t>Заст дирек з навч.-вихов. роботи</t>
  </si>
  <si>
    <t>Заступник дирек з навч.-виховної роботи</t>
  </si>
  <si>
    <t xml:space="preserve"> </t>
  </si>
  <si>
    <t>Заступник дирек. з навч.-виховної роботи</t>
  </si>
  <si>
    <t>8,9,10,11розряди</t>
  </si>
  <si>
    <t>90% від оклада директора</t>
  </si>
  <si>
    <t>13тар.розряд</t>
  </si>
  <si>
    <t>штат у кількості  1,0 штатних одиниць</t>
  </si>
  <si>
    <t>95% від окладу гл.бух.</t>
  </si>
  <si>
    <t>Прибиральник службов.приміщень</t>
  </si>
  <si>
    <t>Додаток№21</t>
  </si>
  <si>
    <t>Додаток№22</t>
  </si>
  <si>
    <t>Додаток№23</t>
  </si>
  <si>
    <t>Додаток№28</t>
  </si>
  <si>
    <t>Додаток №12</t>
  </si>
  <si>
    <t>Додаток №13</t>
  </si>
  <si>
    <t>Додаток №15</t>
  </si>
  <si>
    <t>Додаток №16</t>
  </si>
  <si>
    <t>Вчитель-логопед</t>
  </si>
  <si>
    <t>Надбавка педагогам за престижність(постанова № 373)-20%;50% - бібл.(постанова №1073)</t>
  </si>
  <si>
    <t>Надбавка педагогам за престижність(постанова № 373)-20%</t>
  </si>
  <si>
    <t>тариф.</t>
  </si>
  <si>
    <t>Завідувач</t>
  </si>
  <si>
    <t>Сестра медична старша</t>
  </si>
  <si>
    <t>Підсобний робітник</t>
  </si>
  <si>
    <t>Директор школи</t>
  </si>
  <si>
    <t>Завідуючий господарством</t>
  </si>
  <si>
    <t>Директор лицею</t>
  </si>
  <si>
    <t>за роботу в певних типахнавчальних закладів(групах)-10%</t>
  </si>
  <si>
    <t>За складність та напруженість15%</t>
  </si>
  <si>
    <t>додаткові види оплати</t>
  </si>
  <si>
    <t>.</t>
  </si>
  <si>
    <t>соціальний педагог</t>
  </si>
  <si>
    <t>Майстер виробничого навчання</t>
  </si>
  <si>
    <t>з 01.09.2012року.</t>
  </si>
  <si>
    <t>двірник</t>
  </si>
  <si>
    <t>Вчитель-логопед    (КСЗШ №9)</t>
  </si>
  <si>
    <t>з 01,09.2012року.</t>
  </si>
  <si>
    <t>Психолого-медико-педагогічна консультація</t>
  </si>
  <si>
    <t>штат у кількості  1,5 штатних одиниць</t>
  </si>
  <si>
    <t>Консультант</t>
  </si>
  <si>
    <t>з місячним фондом заробітної плати 4574,54грн.</t>
  </si>
  <si>
    <t>Навчально-виробничий  центр професійної підготовки молоді у комунальному закладі СЗШ №4</t>
  </si>
  <si>
    <t>Заступник директора з навч.-виховн частини</t>
  </si>
  <si>
    <t>95% від окладу дир.СЗШ№4</t>
  </si>
  <si>
    <t>штат у кількості  5,75 штатних одиниць</t>
  </si>
  <si>
    <t>з місячним фондом заробітної плати  10794,78 грн.</t>
  </si>
  <si>
    <t>до рішення виконкому №</t>
  </si>
  <si>
    <t>Керуючий справами виконкому                                   В.Д.Сергієнко</t>
  </si>
  <si>
    <t>Виконавець: Г.П.Рубаха 4-20-41</t>
  </si>
  <si>
    <t>Вихователь реабілітаціоної групи</t>
  </si>
  <si>
    <t>Вчитель дефектолог</t>
  </si>
  <si>
    <t>Інженер-електронік</t>
  </si>
  <si>
    <t>Заступник дирек з виховної роботи</t>
  </si>
  <si>
    <t>Заступник дирек. з виховної роботи</t>
  </si>
  <si>
    <t>Робітник з комплекс.обслуговування та ремонту будівель</t>
  </si>
  <si>
    <t>штат у кількості  8,0штатних одиниць</t>
  </si>
  <si>
    <t>Прибиральник.служб.     приміщень</t>
  </si>
  <si>
    <t>Прибиральник.служб.   приміщ.</t>
  </si>
  <si>
    <t>з/пл МОП та спец.</t>
  </si>
  <si>
    <t>з.пл спец та моп</t>
  </si>
  <si>
    <t>з.пл по тариф</t>
  </si>
  <si>
    <t>з.пл по штат</t>
  </si>
  <si>
    <t>з.пл МОП</t>
  </si>
  <si>
    <t>Виконавець: І.І.Челнокова 4-31-52</t>
  </si>
  <si>
    <t>Начальник управління освіти                                                Г.П.Рубаха</t>
  </si>
  <si>
    <t>Прибиральник служб..приміщень</t>
  </si>
  <si>
    <t xml:space="preserve">   книж.фонд</t>
  </si>
  <si>
    <t>За шкідливі умови 12%,</t>
  </si>
  <si>
    <t>Опалювач</t>
  </si>
  <si>
    <t>розряд</t>
  </si>
  <si>
    <t>к-ть ст.</t>
  </si>
  <si>
    <t>Заступник директора з навчально- вихов.роботи</t>
  </si>
  <si>
    <t>95% від окладу директора</t>
  </si>
  <si>
    <t>За складність та напруженість 50%(нак №557)</t>
  </si>
  <si>
    <t>Завідувач методичного відділу</t>
  </si>
  <si>
    <t>Завідувач господарством</t>
  </si>
  <si>
    <t>Завідувач складом</t>
  </si>
  <si>
    <t>Завідувач бібліотеки</t>
  </si>
  <si>
    <t>Водій автотранспортних засобів</t>
  </si>
  <si>
    <t>Директор школи (ДЮСШ)</t>
  </si>
  <si>
    <t xml:space="preserve">Заступник директора з навчально-тренувальної роботи </t>
  </si>
  <si>
    <t>Штатний розпис з 01.01.2013</t>
  </si>
  <si>
    <t>з місячним фондом заробітної плати 11497,40 грн.</t>
  </si>
  <si>
    <t>до наказу управління освіти №32 від 28.01.13р.</t>
  </si>
  <si>
    <t>штат у кількості         штатних одиниць</t>
  </si>
  <si>
    <t xml:space="preserve">Директор </t>
  </si>
  <si>
    <t>Заступник директора з господарчої роботи</t>
  </si>
  <si>
    <t>Музичний керівник</t>
  </si>
  <si>
    <t>Інструктор з фізкультури</t>
  </si>
  <si>
    <t>Пом.вихователя для дітей віком від 3-х років</t>
  </si>
  <si>
    <t>Пом.вихователя для дітей віком до 3-х років</t>
  </si>
  <si>
    <t>Машиніст з прання та ремонту спецодягу(білизни)</t>
  </si>
  <si>
    <t>Керівник гуртка</t>
  </si>
  <si>
    <t>Сестра медична</t>
  </si>
  <si>
    <t>Заступник директора з адміністративно-господарчої частини</t>
  </si>
  <si>
    <t>85% від 14тар.розряду</t>
  </si>
  <si>
    <t>Олекс.</t>
  </si>
  <si>
    <t>контроль</t>
  </si>
  <si>
    <t>звання</t>
  </si>
  <si>
    <t>Додаток№20</t>
  </si>
  <si>
    <t>Завідувач психолого-медико-педагогічного центру</t>
  </si>
  <si>
    <t>Консультант міського психолого-медико педагогічного центру</t>
  </si>
  <si>
    <t>Завідувач інформаційно-методичного центру</t>
  </si>
  <si>
    <t>за складність та напруж. - 15%,35%,7%</t>
  </si>
  <si>
    <t>за складність та напруж. - 15%,20,35%*7%</t>
  </si>
  <si>
    <t>Сестра ме дична</t>
  </si>
  <si>
    <t>за складність та напруж. - 12%,15%,35%,7%</t>
  </si>
  <si>
    <t>за складність та напруж. -12%, 15%,35%,7%</t>
  </si>
  <si>
    <t>Помічник директора з господарчої  роботи</t>
  </si>
  <si>
    <t>Програміст</t>
  </si>
  <si>
    <t>з/пл по " іншим" на  01.09.2014рік без індексації</t>
  </si>
  <si>
    <t>дюсш</t>
  </si>
  <si>
    <t xml:space="preserve">штатне без </t>
  </si>
  <si>
    <t>книжковий фонд</t>
  </si>
  <si>
    <t>книжков.фонд(10%)</t>
  </si>
  <si>
    <t>робота в спец кл.-25%,7%</t>
  </si>
  <si>
    <t xml:space="preserve">        за ліцей</t>
  </si>
  <si>
    <t xml:space="preserve"> за книжковий фонд</t>
  </si>
  <si>
    <t>Всього штатних посад</t>
  </si>
  <si>
    <t>штат у кількості  14,0 штатних одиниць</t>
  </si>
  <si>
    <t>25%,50%</t>
  </si>
  <si>
    <t xml:space="preserve">Цех харчування </t>
  </si>
  <si>
    <t>Заступник директора з виховної роботи</t>
  </si>
  <si>
    <t>Робітник з комплекс. обслуговування та ремонту будівель</t>
  </si>
  <si>
    <t>23.</t>
  </si>
  <si>
    <t>ГПД -5%</t>
  </si>
  <si>
    <t>Опалювач(сезонний)</t>
  </si>
  <si>
    <t>44груп - 653учнів</t>
  </si>
  <si>
    <t>Провідний спеціаліст-юрисконсульт</t>
  </si>
  <si>
    <t>Спеціаліст ІІкат</t>
  </si>
  <si>
    <t>з плата</t>
  </si>
  <si>
    <t>бт</t>
  </si>
  <si>
    <t>метод</t>
  </si>
  <si>
    <t>госп.гр</t>
  </si>
  <si>
    <t>цех.х</t>
  </si>
  <si>
    <t>педаг</t>
  </si>
  <si>
    <t>Всього по штатному</t>
  </si>
  <si>
    <t>Всього з тариф.</t>
  </si>
  <si>
    <t>за престижність 20%,10%</t>
  </si>
  <si>
    <t>за престижність</t>
  </si>
  <si>
    <t>оклади ДНЗ №17</t>
  </si>
  <si>
    <t>оклади школа</t>
  </si>
  <si>
    <t>розряди</t>
  </si>
  <si>
    <t>ставки ставки на 01.09.2015</t>
  </si>
  <si>
    <t>висл.</t>
  </si>
  <si>
    <t>ніч.час</t>
  </si>
  <si>
    <t>шкідл.умови</t>
  </si>
  <si>
    <t>контрольна</t>
  </si>
  <si>
    <t>заклад</t>
  </si>
  <si>
    <t>ліцей</t>
  </si>
  <si>
    <t>НВК№1</t>
  </si>
  <si>
    <t>Чортом.</t>
  </si>
  <si>
    <t xml:space="preserve">Зведення зарплати </t>
  </si>
  <si>
    <t>Заступник директора з господарчої роботи, завгосп</t>
  </si>
  <si>
    <t>Соціальний педагог</t>
  </si>
  <si>
    <t>Вихователь(СЗШ№6,9,Олекс.,Чортом.)</t>
  </si>
  <si>
    <t>Вчитель - дефектолог</t>
  </si>
  <si>
    <t>контрольна ставки</t>
  </si>
  <si>
    <t>контрольна ЗП</t>
  </si>
  <si>
    <t>збільшення з 01.12.15</t>
  </si>
  <si>
    <t>збільшення з 01.12.15 всього</t>
  </si>
  <si>
    <t>Будинок творчості дітей та юнацтва</t>
  </si>
  <si>
    <t xml:space="preserve">Централізована бухгалтерія </t>
  </si>
  <si>
    <t>Дошкільне відділення</t>
  </si>
  <si>
    <t xml:space="preserve">Соціальний педагог </t>
  </si>
  <si>
    <t>Практичний психолог</t>
  </si>
  <si>
    <t>Кастелянка</t>
  </si>
  <si>
    <t>Вихователь-методист</t>
  </si>
  <si>
    <t>Гардеробник(сезонний)</t>
  </si>
  <si>
    <t>Комунальний заклад «Середня загальноосвітня школа № 4                            м. Покров  Дніпропетровської області»</t>
  </si>
  <si>
    <t>Комунальний заклад «Чортомлицька неповна середня загальноосвітня школа м. Покров Дніпропетровської області»</t>
  </si>
  <si>
    <t xml:space="preserve">Комунальний заклад «Середня загальноосвітня школа № 2                          м.Покров Дніпропетровської області» </t>
  </si>
  <si>
    <t>Комунальний заклад «Загальноосвітній ліцей                          м.Покров Дніпропетровської області»</t>
  </si>
  <si>
    <t>85% від ок.дир.</t>
  </si>
  <si>
    <t>Комунальний заклад «Середня загальноосвітня школа № 6                          м. Покров Дніпропетровської області»</t>
  </si>
  <si>
    <t>Контрольна кідькість ставок</t>
  </si>
  <si>
    <t>вихов</t>
  </si>
  <si>
    <t>адмін.педаг.</t>
  </si>
  <si>
    <t>спеціалісти</t>
  </si>
  <si>
    <t>1030учнів/58груп</t>
  </si>
  <si>
    <t>штат у кількості  26,0 штатних одиниць</t>
  </si>
  <si>
    <t>Додаток  № 8</t>
  </si>
  <si>
    <t>Додаток №9</t>
  </si>
  <si>
    <t>Додаток №10</t>
  </si>
  <si>
    <t>Додаток№17</t>
  </si>
  <si>
    <t>Додаток№ 18</t>
  </si>
  <si>
    <t>Додаток   № 19</t>
  </si>
  <si>
    <t>Головний спеціаліст з питань дитячого харчування</t>
  </si>
  <si>
    <t>звання,спец класи,ліцей</t>
  </si>
  <si>
    <t>ФОП по окладам,грн.</t>
  </si>
  <si>
    <t xml:space="preserve"> за зав.бібл.книжк.ф.</t>
  </si>
  <si>
    <t xml:space="preserve"> за зав.бібл.книж.фонд</t>
  </si>
  <si>
    <t>Завгосп</t>
  </si>
  <si>
    <t>посадовий оклад,   грн.</t>
  </si>
  <si>
    <t>тариф ний роз  ряд</t>
  </si>
  <si>
    <t>95% від оклада дир.</t>
  </si>
  <si>
    <t>95% від ок. Дир.</t>
  </si>
  <si>
    <t>95% від ок.д.</t>
  </si>
  <si>
    <t>Вихователь яс. групи</t>
  </si>
  <si>
    <t>Вихователь дош. групи</t>
  </si>
  <si>
    <t>Пом.вихователя для дітей віком від 3-х р.</t>
  </si>
  <si>
    <t>Робітник з комплексного обсл. та ремонту будівель</t>
  </si>
  <si>
    <t xml:space="preserve">Комунальний заклад « Навчально - виховний комплекс № 1 ( середня школа  І -ІІІ ступенів - дошкільний навчальний заклад )м. Покров Дніпропетровської області »
</t>
  </si>
  <si>
    <t>85%</t>
  </si>
  <si>
    <t>95%</t>
  </si>
  <si>
    <t xml:space="preserve">Машиніст з прання та ремонту спецодягу(б) </t>
  </si>
  <si>
    <t xml:space="preserve">Комунальний заклад«Навчально-виховний комплекс №2 (середня школа І-ІІІ ступенів-дошкільний навчальний заклад)м.Покров Дніпропетровської області»
</t>
  </si>
  <si>
    <t>85% від ок д.</t>
  </si>
  <si>
    <t>Робітник з комплексн. обслугов. та ремонту будівель</t>
  </si>
  <si>
    <t>Додаток №14</t>
  </si>
  <si>
    <t>95% від оклада д.</t>
  </si>
  <si>
    <t>доплата до  мін.зп 3200</t>
  </si>
  <si>
    <t>ФЗП з урахуванням мін. ЗП .3200</t>
  </si>
  <si>
    <t>за роботу в нічний час 40%</t>
  </si>
  <si>
    <t>За спец класи 25%</t>
  </si>
  <si>
    <t>Зведення ставок та ЗП по загальноосвітнім  школам станом на 01.01.2017року</t>
  </si>
  <si>
    <t>Комунальний заклад «Олександрівська неповна середня загальноосвітня школа       м. Покров Дніпропетровської області»</t>
  </si>
  <si>
    <t>штат у кількості  19,0 штатних одиниць</t>
  </si>
  <si>
    <t>8;9;10</t>
  </si>
  <si>
    <t>11,13</t>
  </si>
  <si>
    <t>13</t>
  </si>
  <si>
    <t>11</t>
  </si>
  <si>
    <t>13,14</t>
  </si>
  <si>
    <t>Пом вихов.(Олекс.Чорт)</t>
  </si>
  <si>
    <t>17тар.розряд</t>
  </si>
  <si>
    <t>штат у кількості 25,75 штатних одиниць</t>
  </si>
  <si>
    <t>штат у кількості 30,75 штатних одиниць</t>
  </si>
  <si>
    <t>Комунальний заклад «Середня загальноосвітня школа № 9   м. Покров Дніпропетровської області»</t>
  </si>
  <si>
    <t>штат у кількості 22,00 штатних одиниць</t>
  </si>
  <si>
    <t>штат у кількості 11,5 штатних одиниць</t>
  </si>
  <si>
    <t>штат у кількості  10,50 штатних одиниць</t>
  </si>
  <si>
    <t xml:space="preserve">до  рішення виконкому  від </t>
  </si>
  <si>
    <t>Бібліотекар ІІкат.</t>
  </si>
  <si>
    <t>Бібліотекар І кат.</t>
  </si>
  <si>
    <t xml:space="preserve">до  рішення виконкому </t>
  </si>
  <si>
    <t xml:space="preserve">до  рішення виконкому  </t>
  </si>
  <si>
    <t xml:space="preserve">до рішення виконкому від </t>
  </si>
  <si>
    <t>Штатний розпис на 2017-2018 навчальний рік з 01.09.2017 року</t>
  </si>
  <si>
    <t>до рішення виконкому</t>
  </si>
  <si>
    <t>штат у кількості 23,0 штатних одиниць</t>
  </si>
  <si>
    <t>Рубаха</t>
  </si>
  <si>
    <t>Штатний розпис на 2017-2018 навчальний рік</t>
  </si>
  <si>
    <t>з місячним фондом заробітної плати 48400,60 грн.</t>
  </si>
  <si>
    <t>Керуючий справами виконкому</t>
  </si>
  <si>
    <t>Г.М.Відяєва</t>
  </si>
  <si>
    <t>за роботу в спец.кл.</t>
  </si>
  <si>
    <t>Вчитель з корекційної освіти</t>
  </si>
  <si>
    <t>9</t>
  </si>
  <si>
    <t>10,11,13</t>
  </si>
  <si>
    <t>Головний спеціаліст</t>
  </si>
  <si>
    <t>штат у кількості 33,5 штатних одиниць</t>
  </si>
  <si>
    <t>з місячним фондом заробітної плати 139141,18 грн.</t>
  </si>
  <si>
    <t>з місячним фондом заробітної плати 99302,80 грн.</t>
  </si>
  <si>
    <t>з місячним фондом заробітної плати 4680,96грн.</t>
  </si>
  <si>
    <t xml:space="preserve">премія </t>
  </si>
  <si>
    <t>за складність та напруж.</t>
  </si>
  <si>
    <t>Лікар (невролог,психиатр) психолого-медико педагогічного центру)</t>
  </si>
  <si>
    <t>з місячним фондом заробітної плати 101969,92грн.</t>
  </si>
  <si>
    <t>Вихователь для супроводу дітей</t>
  </si>
  <si>
    <t>Вчитель- реабілітолог</t>
  </si>
  <si>
    <t>Хореограф</t>
  </si>
  <si>
    <t xml:space="preserve">за престижність </t>
  </si>
  <si>
    <t>з місячним фондом заробітної плати 97211,81грн.</t>
  </si>
  <si>
    <t>з місячним фондом заробітної плати 118096,37 грн.</t>
  </si>
  <si>
    <t>10,11,12</t>
  </si>
  <si>
    <t>з місячним фондом заробітної плати 85611,48 грн.</t>
  </si>
  <si>
    <t>з місячним фондом заробітної плати 81745,12</t>
  </si>
  <si>
    <t>асистент вчителя</t>
  </si>
  <si>
    <t>з місячним фондом заробітної плати 76008,03 грн.</t>
  </si>
  <si>
    <t>з місячним фондом заробітної плати   397071,26грн.</t>
  </si>
  <si>
    <t xml:space="preserve">Провідний бібліотекар </t>
  </si>
  <si>
    <t>Штатний розпис на 2017-2018 навчальний рік з   01.09.2017 року</t>
  </si>
  <si>
    <t>Заступник директора з адміністративно - господарчої роботи</t>
  </si>
  <si>
    <t>85% від оклада директора</t>
  </si>
  <si>
    <t>з місячним фондом заробітної плати 53106,72грн.</t>
  </si>
  <si>
    <t>штат у кількості 80,25 штатних одиниць</t>
  </si>
  <si>
    <r>
      <t>з місячним фондом заробітної плати  323190,73</t>
    </r>
    <r>
      <rPr>
        <b/>
        <sz val="10"/>
        <rFont val="Times New Roman"/>
        <family val="1"/>
      </rPr>
      <t>.</t>
    </r>
  </si>
  <si>
    <t>штат у кількості 23,5  штатних одиниць</t>
  </si>
  <si>
    <t>з місячним фондом заробітної плати 89409,64 грн.</t>
  </si>
  <si>
    <t>Асистент вчителя з.о.навч.закладу з інклюзивним навчанням</t>
  </si>
  <si>
    <t>Асистент вчителя з.о.навч. закладу з інклюзивним навчанням</t>
  </si>
  <si>
    <t>грн</t>
  </si>
  <si>
    <t>штат у кількості  42,75 штатних одиниць</t>
  </si>
  <si>
    <t>з місячним фондом заробітної плати 187205,90 грн.</t>
  </si>
  <si>
    <t>штат у кількості 43,75 штатних одиниць</t>
  </si>
  <si>
    <t>з місячним фондом заробітної плати 187063,28грн.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</si>
</sst>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0.00_ ;[Red]\-0.00\ "/>
  </numFmts>
  <fonts count="7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3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name val="Bodoni MT Condensed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710"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9" fontId="3" fillId="0" borderId="16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9" fontId="3" fillId="0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right"/>
    </xf>
    <xf numFmtId="1" fontId="3" fillId="0" borderId="19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 horizontal="justify" vertical="center"/>
    </xf>
    <xf numFmtId="2" fontId="3" fillId="0" borderId="19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 horizontal="right"/>
    </xf>
    <xf numFmtId="2" fontId="3" fillId="0" borderId="19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1" fontId="4" fillId="0" borderId="19" xfId="0" applyNumberFormat="1" applyFont="1" applyFill="1" applyBorder="1" applyAlignment="1">
      <alignment/>
    </xf>
    <xf numFmtId="1" fontId="4" fillId="0" borderId="19" xfId="0" applyNumberFormat="1" applyFont="1" applyFill="1" applyBorder="1" applyAlignment="1">
      <alignment horizontal="justify" vertical="center"/>
    </xf>
    <xf numFmtId="2" fontId="4" fillId="0" borderId="19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8" fillId="0" borderId="19" xfId="0" applyNumberFormat="1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 vertical="center"/>
    </xf>
    <xf numFmtId="1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justify"/>
    </xf>
    <xf numFmtId="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180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justify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justify"/>
    </xf>
    <xf numFmtId="0" fontId="3" fillId="0" borderId="11" xfId="0" applyFont="1" applyFill="1" applyBorder="1" applyAlignment="1">
      <alignment/>
    </xf>
    <xf numFmtId="180" fontId="3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13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/>
    </xf>
    <xf numFmtId="0" fontId="3" fillId="0" borderId="0" xfId="0" applyFont="1" applyFill="1" applyAlignment="1">
      <alignment horizontal="justify" vertical="center"/>
    </xf>
    <xf numFmtId="0" fontId="3" fillId="0" borderId="16" xfId="0" applyFont="1" applyFill="1" applyBorder="1" applyAlignment="1">
      <alignment/>
    </xf>
    <xf numFmtId="0" fontId="3" fillId="0" borderId="0" xfId="0" applyFont="1" applyFill="1" applyAlignment="1">
      <alignment horizontal="justify"/>
    </xf>
    <xf numFmtId="2" fontId="3" fillId="0" borderId="16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2" fontId="9" fillId="0" borderId="0" xfId="0" applyNumberFormat="1" applyFont="1" applyFill="1" applyAlignment="1">
      <alignment/>
    </xf>
    <xf numFmtId="2" fontId="5" fillId="0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justify"/>
    </xf>
    <xf numFmtId="2" fontId="12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29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9" fontId="9" fillId="0" borderId="0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9" fontId="9" fillId="0" borderId="18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1" fontId="9" fillId="0" borderId="19" xfId="0" applyNumberFormat="1" applyFont="1" applyFill="1" applyBorder="1" applyAlignment="1">
      <alignment/>
    </xf>
    <xf numFmtId="1" fontId="9" fillId="0" borderId="19" xfId="0" applyNumberFormat="1" applyFont="1" applyFill="1" applyBorder="1" applyAlignment="1">
      <alignment horizontal="justify" vertical="center"/>
    </xf>
    <xf numFmtId="2" fontId="9" fillId="0" borderId="19" xfId="0" applyNumberFormat="1" applyFont="1" applyFill="1" applyBorder="1" applyAlignment="1">
      <alignment/>
    </xf>
    <xf numFmtId="2" fontId="9" fillId="0" borderId="19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justify" vertical="center"/>
    </xf>
    <xf numFmtId="0" fontId="12" fillId="0" borderId="0" xfId="0" applyFont="1" applyFill="1" applyAlignment="1">
      <alignment horizontal="justify" wrapText="1"/>
    </xf>
    <xf numFmtId="1" fontId="9" fillId="0" borderId="1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textRotation="90"/>
    </xf>
    <xf numFmtId="0" fontId="9" fillId="0" borderId="17" xfId="0" applyFont="1" applyFill="1" applyBorder="1" applyAlignment="1">
      <alignment horizontal="center" textRotation="90"/>
    </xf>
    <xf numFmtId="9" fontId="9" fillId="0" borderId="16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 textRotation="90"/>
    </xf>
    <xf numFmtId="2" fontId="9" fillId="0" borderId="1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2" fontId="9" fillId="0" borderId="0" xfId="0" applyNumberFormat="1" applyFont="1" applyFill="1" applyAlignment="1">
      <alignment horizontal="justify"/>
    </xf>
    <xf numFmtId="0" fontId="9" fillId="0" borderId="19" xfId="0" applyFont="1" applyFill="1" applyBorder="1" applyAlignment="1">
      <alignment horizontal="justify" vertical="center"/>
    </xf>
    <xf numFmtId="2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textRotation="90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textRotation="90"/>
    </xf>
    <xf numFmtId="1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2" fontId="13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1" xfId="0" applyFont="1" applyFill="1" applyBorder="1" applyAlignment="1">
      <alignment horizontal="center" textRotation="90"/>
    </xf>
    <xf numFmtId="0" fontId="9" fillId="0" borderId="31" xfId="0" applyFont="1" applyFill="1" applyBorder="1" applyAlignment="1">
      <alignment/>
    </xf>
    <xf numFmtId="0" fontId="9" fillId="0" borderId="23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center"/>
    </xf>
    <xf numFmtId="2" fontId="9" fillId="0" borderId="32" xfId="0" applyNumberFormat="1" applyFont="1" applyFill="1" applyBorder="1" applyAlignment="1">
      <alignment/>
    </xf>
    <xf numFmtId="2" fontId="9" fillId="0" borderId="32" xfId="0" applyNumberFormat="1" applyFont="1" applyFill="1" applyBorder="1" applyAlignment="1">
      <alignment/>
    </xf>
    <xf numFmtId="2" fontId="9" fillId="0" borderId="33" xfId="0" applyNumberFormat="1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16" fillId="0" borderId="30" xfId="0" applyFont="1" applyFill="1" applyBorder="1" applyAlignment="1">
      <alignment/>
    </xf>
    <xf numFmtId="2" fontId="16" fillId="0" borderId="29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9" fillId="0" borderId="36" xfId="0" applyFont="1" applyFill="1" applyBorder="1" applyAlignment="1">
      <alignment horizontal="center"/>
    </xf>
    <xf numFmtId="2" fontId="9" fillId="0" borderId="36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" fontId="16" fillId="0" borderId="0" xfId="0" applyNumberFormat="1" applyFont="1" applyFill="1" applyBorder="1" applyAlignment="1">
      <alignment/>
    </xf>
    <xf numFmtId="0" fontId="9" fillId="0" borderId="32" xfId="0" applyFont="1" applyFill="1" applyBorder="1" applyAlignment="1">
      <alignment/>
    </xf>
    <xf numFmtId="180" fontId="9" fillId="0" borderId="36" xfId="0" applyNumberFormat="1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1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2" fontId="20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2" fontId="16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180" fontId="26" fillId="0" borderId="10" xfId="0" applyNumberFormat="1" applyFont="1" applyFill="1" applyBorder="1" applyAlignment="1">
      <alignment/>
    </xf>
    <xf numFmtId="2" fontId="26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justify" vertical="center" wrapText="1"/>
    </xf>
    <xf numFmtId="0" fontId="27" fillId="0" borderId="10" xfId="0" applyFont="1" applyFill="1" applyBorder="1" applyAlignment="1">
      <alignment/>
    </xf>
    <xf numFmtId="0" fontId="26" fillId="0" borderId="25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19" xfId="0" applyFont="1" applyFill="1" applyBorder="1" applyAlignment="1">
      <alignment/>
    </xf>
    <xf numFmtId="180" fontId="26" fillId="0" borderId="19" xfId="0" applyNumberFormat="1" applyFont="1" applyFill="1" applyBorder="1" applyAlignment="1">
      <alignment/>
    </xf>
    <xf numFmtId="0" fontId="26" fillId="0" borderId="35" xfId="0" applyFont="1" applyFill="1" applyBorder="1" applyAlignment="1">
      <alignment horizontal="center"/>
    </xf>
    <xf numFmtId="0" fontId="27" fillId="0" borderId="17" xfId="0" applyFont="1" applyFill="1" applyBorder="1" applyAlignment="1">
      <alignment/>
    </xf>
    <xf numFmtId="2" fontId="26" fillId="0" borderId="17" xfId="0" applyNumberFormat="1" applyFont="1" applyFill="1" applyBorder="1" applyAlignment="1">
      <alignment/>
    </xf>
    <xf numFmtId="0" fontId="26" fillId="0" borderId="37" xfId="0" applyFont="1" applyFill="1" applyBorder="1" applyAlignment="1">
      <alignment horizontal="center"/>
    </xf>
    <xf numFmtId="0" fontId="27" fillId="0" borderId="13" xfId="0" applyFont="1" applyFill="1" applyBorder="1" applyAlignment="1">
      <alignment/>
    </xf>
    <xf numFmtId="2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justify" vertical="center" wrapText="1"/>
    </xf>
    <xf numFmtId="2" fontId="3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horizontal="left"/>
    </xf>
    <xf numFmtId="180" fontId="3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16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6" fillId="0" borderId="12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6" fillId="0" borderId="14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38" xfId="0" applyFont="1" applyFill="1" applyBorder="1" applyAlignment="1">
      <alignment/>
    </xf>
    <xf numFmtId="0" fontId="16" fillId="0" borderId="16" xfId="0" applyFont="1" applyFill="1" applyBorder="1" applyAlignment="1">
      <alignment horizontal="center"/>
    </xf>
    <xf numFmtId="0" fontId="16" fillId="0" borderId="16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9" fontId="16" fillId="0" borderId="0" xfId="0" applyNumberFormat="1" applyFont="1" applyFill="1" applyBorder="1" applyAlignment="1">
      <alignment/>
    </xf>
    <xf numFmtId="0" fontId="16" fillId="0" borderId="18" xfId="0" applyFont="1" applyFill="1" applyBorder="1" applyAlignment="1">
      <alignment horizontal="center"/>
    </xf>
    <xf numFmtId="9" fontId="16" fillId="0" borderId="18" xfId="0" applyNumberFormat="1" applyFont="1" applyFill="1" applyBorder="1" applyAlignment="1">
      <alignment/>
    </xf>
    <xf numFmtId="0" fontId="16" fillId="0" borderId="18" xfId="0" applyFont="1" applyFill="1" applyBorder="1" applyAlignment="1">
      <alignment/>
    </xf>
    <xf numFmtId="9" fontId="16" fillId="0" borderId="11" xfId="0" applyNumberFormat="1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justify" vertical="center" wrapText="1"/>
    </xf>
    <xf numFmtId="180" fontId="16" fillId="0" borderId="19" xfId="0" applyNumberFormat="1" applyFont="1" applyFill="1" applyBorder="1" applyAlignment="1">
      <alignment/>
    </xf>
    <xf numFmtId="1" fontId="16" fillId="0" borderId="19" xfId="0" applyNumberFormat="1" applyFont="1" applyFill="1" applyBorder="1" applyAlignment="1">
      <alignment/>
    </xf>
    <xf numFmtId="1" fontId="16" fillId="0" borderId="19" xfId="0" applyNumberFormat="1" applyFont="1" applyFill="1" applyBorder="1" applyAlignment="1">
      <alignment horizontal="center" vertical="center"/>
    </xf>
    <xf numFmtId="2" fontId="16" fillId="0" borderId="19" xfId="0" applyNumberFormat="1" applyFont="1" applyFill="1" applyBorder="1" applyAlignment="1">
      <alignment/>
    </xf>
    <xf numFmtId="2" fontId="16" fillId="0" borderId="19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justify" vertical="center" wrapText="1"/>
    </xf>
    <xf numFmtId="180" fontId="16" fillId="0" borderId="10" xfId="0" applyNumberFormat="1" applyFont="1" applyFill="1" applyBorder="1" applyAlignment="1">
      <alignment/>
    </xf>
    <xf numFmtId="2" fontId="20" fillId="0" borderId="19" xfId="0" applyNumberFormat="1" applyFont="1" applyFill="1" applyBorder="1" applyAlignment="1">
      <alignment/>
    </xf>
    <xf numFmtId="2" fontId="21" fillId="0" borderId="19" xfId="0" applyNumberFormat="1" applyFont="1" applyFill="1" applyBorder="1" applyAlignment="1">
      <alignment horizontal="justify" vertical="center"/>
    </xf>
    <xf numFmtId="1" fontId="16" fillId="0" borderId="19" xfId="0" applyNumberFormat="1" applyFont="1" applyFill="1" applyBorder="1" applyAlignment="1">
      <alignment horizontal="justify" vertical="center"/>
    </xf>
    <xf numFmtId="0" fontId="29" fillId="0" borderId="10" xfId="0" applyFont="1" applyFill="1" applyBorder="1" applyAlignment="1">
      <alignment horizontal="justify" vertical="center" wrapText="1"/>
    </xf>
    <xf numFmtId="1" fontId="16" fillId="0" borderId="10" xfId="0" applyNumberFormat="1" applyFont="1" applyFill="1" applyBorder="1" applyAlignment="1">
      <alignment/>
    </xf>
    <xf numFmtId="1" fontId="16" fillId="0" borderId="10" xfId="0" applyNumberFormat="1" applyFont="1" applyFill="1" applyBorder="1" applyAlignment="1">
      <alignment horizontal="justify" vertical="center"/>
    </xf>
    <xf numFmtId="0" fontId="23" fillId="0" borderId="0" xfId="0" applyFont="1" applyFill="1" applyAlignment="1">
      <alignment/>
    </xf>
    <xf numFmtId="2" fontId="5" fillId="0" borderId="19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21" fillId="0" borderId="17" xfId="0" applyFont="1" applyFill="1" applyBorder="1" applyAlignment="1">
      <alignment horizontal="justify" vertical="center" textRotation="90"/>
    </xf>
    <xf numFmtId="9" fontId="5" fillId="0" borderId="0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9" fontId="5" fillId="0" borderId="18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21" fillId="0" borderId="19" xfId="0" applyFont="1" applyFill="1" applyBorder="1" applyAlignment="1">
      <alignment horizontal="justify" vertical="center" textRotation="90"/>
    </xf>
    <xf numFmtId="9" fontId="5" fillId="0" borderId="11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180" fontId="5" fillId="0" borderId="17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180" fontId="5" fillId="0" borderId="13" xfId="0" applyNumberFormat="1" applyFont="1" applyFill="1" applyBorder="1" applyAlignment="1">
      <alignment/>
    </xf>
    <xf numFmtId="1" fontId="31" fillId="0" borderId="13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2" fontId="31" fillId="0" borderId="21" xfId="0" applyNumberFormat="1" applyFont="1" applyFill="1" applyBorder="1" applyAlignment="1">
      <alignment/>
    </xf>
    <xf numFmtId="2" fontId="31" fillId="0" borderId="13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39" xfId="0" applyFont="1" applyFill="1" applyBorder="1" applyAlignment="1">
      <alignment/>
    </xf>
    <xf numFmtId="180" fontId="5" fillId="0" borderId="19" xfId="0" applyNumberFormat="1" applyFont="1" applyFill="1" applyBorder="1" applyAlignment="1">
      <alignment/>
    </xf>
    <xf numFmtId="1" fontId="21" fillId="0" borderId="19" xfId="0" applyNumberFormat="1" applyFont="1" applyFill="1" applyBorder="1" applyAlignment="1">
      <alignment horizontal="justify" vertical="center"/>
    </xf>
    <xf numFmtId="2" fontId="5" fillId="0" borderId="18" xfId="0" applyNumberFormat="1" applyFont="1" applyFill="1" applyBorder="1" applyAlignment="1">
      <alignment/>
    </xf>
    <xf numFmtId="2" fontId="5" fillId="0" borderId="39" xfId="0" applyNumberFormat="1" applyFont="1" applyFill="1" applyBorder="1" applyAlignment="1">
      <alignment/>
    </xf>
    <xf numFmtId="1" fontId="31" fillId="0" borderId="19" xfId="0" applyNumberFormat="1" applyFont="1" applyFill="1" applyBorder="1" applyAlignment="1">
      <alignment/>
    </xf>
    <xf numFmtId="1" fontId="32" fillId="0" borderId="19" xfId="0" applyNumberFormat="1" applyFont="1" applyFill="1" applyBorder="1" applyAlignment="1">
      <alignment horizontal="justify" vertical="center"/>
    </xf>
    <xf numFmtId="2" fontId="31" fillId="0" borderId="19" xfId="0" applyNumberFormat="1" applyFont="1" applyFill="1" applyBorder="1" applyAlignment="1">
      <alignment/>
    </xf>
    <xf numFmtId="2" fontId="31" fillId="0" borderId="19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/>
    </xf>
    <xf numFmtId="1" fontId="5" fillId="0" borderId="19" xfId="0" applyNumberFormat="1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distributed"/>
    </xf>
    <xf numFmtId="2" fontId="21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justify" vertical="center"/>
    </xf>
    <xf numFmtId="0" fontId="18" fillId="0" borderId="0" xfId="0" applyFont="1" applyFill="1" applyAlignment="1">
      <alignment horizontal="justify" wrapText="1"/>
    </xf>
    <xf numFmtId="2" fontId="16" fillId="0" borderId="0" xfId="0" applyNumberFormat="1" applyFont="1" applyFill="1" applyAlignment="1">
      <alignment horizontal="justify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justify"/>
    </xf>
    <xf numFmtId="2" fontId="16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49" fontId="21" fillId="0" borderId="19" xfId="0" applyNumberFormat="1" applyFont="1" applyFill="1" applyBorder="1" applyAlignment="1">
      <alignment horizontal="justify" vertical="center"/>
    </xf>
    <xf numFmtId="1" fontId="21" fillId="0" borderId="17" xfId="0" applyNumberFormat="1" applyFont="1" applyFill="1" applyBorder="1" applyAlignment="1">
      <alignment horizontal="center" vertical="center"/>
    </xf>
    <xf numFmtId="1" fontId="21" fillId="0" borderId="19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34" fillId="0" borderId="10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1" fontId="5" fillId="0" borderId="19" xfId="0" applyNumberFormat="1" applyFont="1" applyFill="1" applyBorder="1" applyAlignment="1">
      <alignment horizontal="justify" vertical="center"/>
    </xf>
    <xf numFmtId="2" fontId="5" fillId="0" borderId="19" xfId="0" applyNumberFormat="1" applyFont="1" applyFill="1" applyBorder="1" applyAlignment="1">
      <alignment horizontal="justify" vertical="center"/>
    </xf>
    <xf numFmtId="1" fontId="5" fillId="0" borderId="10" xfId="0" applyNumberFormat="1" applyFont="1" applyFill="1" applyBorder="1" applyAlignment="1">
      <alignment/>
    </xf>
    <xf numFmtId="2" fontId="20" fillId="0" borderId="19" xfId="0" applyNumberFormat="1" applyFont="1" applyFill="1" applyBorder="1" applyAlignment="1">
      <alignment/>
    </xf>
    <xf numFmtId="1" fontId="5" fillId="0" borderId="19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9" fontId="21" fillId="0" borderId="13" xfId="0" applyNumberFormat="1" applyFont="1" applyFill="1" applyBorder="1" applyAlignment="1">
      <alignment horizontal="justify" vertical="center" textRotation="90"/>
    </xf>
    <xf numFmtId="9" fontId="5" fillId="0" borderId="17" xfId="0" applyNumberFormat="1" applyFont="1" applyFill="1" applyBorder="1" applyAlignment="1">
      <alignment/>
    </xf>
    <xf numFmtId="9" fontId="5" fillId="0" borderId="19" xfId="0" applyNumberFormat="1" applyFont="1" applyFill="1" applyBorder="1" applyAlignment="1">
      <alignment/>
    </xf>
    <xf numFmtId="0" fontId="33" fillId="0" borderId="10" xfId="0" applyFont="1" applyFill="1" applyBorder="1" applyAlignment="1">
      <alignment horizontal="justify" vertical="center" wrapText="1"/>
    </xf>
    <xf numFmtId="0" fontId="35" fillId="0" borderId="10" xfId="0" applyFont="1" applyFill="1" applyBorder="1" applyAlignment="1">
      <alignment/>
    </xf>
    <xf numFmtId="49" fontId="32" fillId="0" borderId="19" xfId="0" applyNumberFormat="1" applyFont="1" applyFill="1" applyBorder="1" applyAlignment="1">
      <alignment horizontal="justify" vertical="center"/>
    </xf>
    <xf numFmtId="2" fontId="5" fillId="0" borderId="0" xfId="0" applyNumberFormat="1" applyFont="1" applyFill="1" applyAlignment="1">
      <alignment/>
    </xf>
    <xf numFmtId="180" fontId="20" fillId="0" borderId="10" xfId="0" applyNumberFormat="1" applyFont="1" applyFill="1" applyBorder="1" applyAlignment="1">
      <alignment/>
    </xf>
    <xf numFmtId="180" fontId="34" fillId="0" borderId="10" xfId="0" applyNumberFormat="1" applyFont="1" applyFill="1" applyBorder="1" applyAlignment="1">
      <alignment/>
    </xf>
    <xf numFmtId="1" fontId="31" fillId="0" borderId="19" xfId="0" applyNumberFormat="1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justify" vertical="center"/>
    </xf>
    <xf numFmtId="0" fontId="33" fillId="0" borderId="12" xfId="0" applyFont="1" applyFill="1" applyBorder="1" applyAlignment="1">
      <alignment/>
    </xf>
    <xf numFmtId="0" fontId="33" fillId="0" borderId="13" xfId="0" applyFont="1" applyFill="1" applyBorder="1" applyAlignment="1">
      <alignment/>
    </xf>
    <xf numFmtId="0" fontId="33" fillId="0" borderId="14" xfId="0" applyFont="1" applyFill="1" applyBorder="1" applyAlignment="1">
      <alignment horizontal="center"/>
    </xf>
    <xf numFmtId="0" fontId="33" fillId="0" borderId="14" xfId="0" applyFont="1" applyFill="1" applyBorder="1" applyAlignment="1">
      <alignment/>
    </xf>
    <xf numFmtId="0" fontId="33" fillId="0" borderId="38" xfId="0" applyFont="1" applyFill="1" applyBorder="1" applyAlignment="1">
      <alignment/>
    </xf>
    <xf numFmtId="0" fontId="33" fillId="0" borderId="16" xfId="0" applyFont="1" applyFill="1" applyBorder="1" applyAlignment="1">
      <alignment horizontal="center"/>
    </xf>
    <xf numFmtId="0" fontId="33" fillId="0" borderId="16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17" xfId="0" applyFont="1" applyFill="1" applyBorder="1" applyAlignment="1">
      <alignment/>
    </xf>
    <xf numFmtId="9" fontId="33" fillId="0" borderId="0" xfId="0" applyNumberFormat="1" applyFont="1" applyFill="1" applyBorder="1" applyAlignment="1">
      <alignment/>
    </xf>
    <xf numFmtId="0" fontId="33" fillId="0" borderId="18" xfId="0" applyFont="1" applyFill="1" applyBorder="1" applyAlignment="1">
      <alignment horizontal="center"/>
    </xf>
    <xf numFmtId="0" fontId="33" fillId="0" borderId="18" xfId="0" applyFont="1" applyFill="1" applyBorder="1" applyAlignment="1">
      <alignment/>
    </xf>
    <xf numFmtId="9" fontId="33" fillId="0" borderId="11" xfId="0" applyNumberFormat="1" applyFont="1" applyFill="1" applyBorder="1" applyAlignment="1">
      <alignment/>
    </xf>
    <xf numFmtId="0" fontId="33" fillId="0" borderId="19" xfId="0" applyFont="1" applyFill="1" applyBorder="1" applyAlignment="1">
      <alignment/>
    </xf>
    <xf numFmtId="0" fontId="33" fillId="0" borderId="19" xfId="0" applyFont="1" applyFill="1" applyBorder="1" applyAlignment="1">
      <alignment horizontal="center"/>
    </xf>
    <xf numFmtId="180" fontId="33" fillId="0" borderId="19" xfId="0" applyNumberFormat="1" applyFont="1" applyFill="1" applyBorder="1" applyAlignment="1">
      <alignment/>
    </xf>
    <xf numFmtId="2" fontId="33" fillId="0" borderId="19" xfId="0" applyNumberFormat="1" applyFont="1" applyFill="1" applyBorder="1" applyAlignment="1">
      <alignment/>
    </xf>
    <xf numFmtId="2" fontId="33" fillId="0" borderId="19" xfId="0" applyNumberFormat="1" applyFont="1" applyFill="1" applyBorder="1" applyAlignment="1">
      <alignment/>
    </xf>
    <xf numFmtId="0" fontId="33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justify" vertical="center"/>
    </xf>
    <xf numFmtId="180" fontId="33" fillId="0" borderId="10" xfId="0" applyNumberFormat="1" applyFont="1" applyFill="1" applyBorder="1" applyAlignment="1">
      <alignment/>
    </xf>
    <xf numFmtId="2" fontId="33" fillId="0" borderId="10" xfId="0" applyNumberFormat="1" applyFont="1" applyFill="1" applyBorder="1" applyAlignment="1">
      <alignment/>
    </xf>
    <xf numFmtId="1" fontId="33" fillId="0" borderId="19" xfId="0" applyNumberFormat="1" applyFont="1" applyFill="1" applyBorder="1" applyAlignment="1">
      <alignment/>
    </xf>
    <xf numFmtId="2" fontId="36" fillId="0" borderId="10" xfId="0" applyNumberFormat="1" applyFont="1" applyFill="1" applyBorder="1" applyAlignment="1">
      <alignment/>
    </xf>
    <xf numFmtId="2" fontId="33" fillId="0" borderId="10" xfId="0" applyNumberFormat="1" applyFont="1" applyFill="1" applyBorder="1" applyAlignment="1">
      <alignment horizontal="right"/>
    </xf>
    <xf numFmtId="1" fontId="3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1" fontId="5" fillId="0" borderId="19" xfId="0" applyNumberFormat="1" applyFont="1" applyFill="1" applyBorder="1" applyAlignment="1">
      <alignment horizontal="right" vertical="center"/>
    </xf>
    <xf numFmtId="2" fontId="33" fillId="0" borderId="10" xfId="0" applyNumberFormat="1" applyFont="1" applyFill="1" applyBorder="1" applyAlignment="1">
      <alignment horizontal="justify" vertical="center"/>
    </xf>
    <xf numFmtId="2" fontId="37" fillId="0" borderId="10" xfId="0" applyNumberFormat="1" applyFont="1" applyFill="1" applyBorder="1" applyAlignment="1">
      <alignment/>
    </xf>
    <xf numFmtId="9" fontId="5" fillId="0" borderId="16" xfId="0" applyNumberFormat="1" applyFont="1" applyFill="1" applyBorder="1" applyAlignment="1">
      <alignment/>
    </xf>
    <xf numFmtId="2" fontId="38" fillId="0" borderId="1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14" xfId="0" applyFont="1" applyFill="1" applyBorder="1" applyAlignment="1">
      <alignment/>
    </xf>
    <xf numFmtId="9" fontId="16" fillId="0" borderId="13" xfId="0" applyNumberFormat="1" applyFont="1" applyFill="1" applyBorder="1" applyAlignment="1">
      <alignment horizontal="center" textRotation="90"/>
    </xf>
    <xf numFmtId="0" fontId="16" fillId="0" borderId="13" xfId="0" applyFont="1" applyFill="1" applyBorder="1" applyAlignment="1">
      <alignment horizontal="center" textRotation="90"/>
    </xf>
    <xf numFmtId="0" fontId="16" fillId="0" borderId="17" xfId="0" applyFont="1" applyFill="1" applyBorder="1" applyAlignment="1">
      <alignment horizontal="center" textRotation="90"/>
    </xf>
    <xf numFmtId="9" fontId="16" fillId="0" borderId="16" xfId="0" applyNumberFormat="1" applyFont="1" applyFill="1" applyBorder="1" applyAlignment="1">
      <alignment/>
    </xf>
    <xf numFmtId="0" fontId="16" fillId="0" borderId="19" xfId="0" applyFont="1" applyFill="1" applyBorder="1" applyAlignment="1">
      <alignment horizontal="center" textRotation="90"/>
    </xf>
    <xf numFmtId="0" fontId="16" fillId="0" borderId="13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justify" vertical="center"/>
    </xf>
    <xf numFmtId="0" fontId="16" fillId="0" borderId="10" xfId="0" applyFont="1" applyFill="1" applyBorder="1" applyAlignment="1">
      <alignment/>
    </xf>
    <xf numFmtId="2" fontId="16" fillId="0" borderId="10" xfId="0" applyNumberFormat="1" applyFont="1" applyFill="1" applyBorder="1" applyAlignment="1">
      <alignment horizontal="right"/>
    </xf>
    <xf numFmtId="0" fontId="16" fillId="0" borderId="17" xfId="0" applyFont="1" applyFill="1" applyBorder="1" applyAlignment="1">
      <alignment horizontal="center"/>
    </xf>
    <xf numFmtId="0" fontId="16" fillId="0" borderId="19" xfId="0" applyFont="1" applyFill="1" applyBorder="1" applyAlignment="1">
      <alignment/>
    </xf>
    <xf numFmtId="1" fontId="16" fillId="0" borderId="19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vertical="center"/>
    </xf>
    <xf numFmtId="179" fontId="16" fillId="0" borderId="10" xfId="60" applyFont="1" applyFill="1" applyBorder="1" applyAlignment="1">
      <alignment horizontal="left"/>
    </xf>
    <xf numFmtId="0" fontId="16" fillId="0" borderId="10" xfId="0" applyFont="1" applyFill="1" applyBorder="1" applyAlignment="1">
      <alignment horizontal="justify" vertical="center"/>
    </xf>
    <xf numFmtId="2" fontId="21" fillId="0" borderId="19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right"/>
    </xf>
    <xf numFmtId="2" fontId="16" fillId="0" borderId="13" xfId="0" applyNumberFormat="1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0" fontId="39" fillId="0" borderId="19" xfId="0" applyFont="1" applyFill="1" applyBorder="1" applyAlignment="1">
      <alignment/>
    </xf>
    <xf numFmtId="2" fontId="16" fillId="0" borderId="19" xfId="0" applyNumberFormat="1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/>
    </xf>
    <xf numFmtId="0" fontId="16" fillId="0" borderId="0" xfId="0" applyFont="1" applyFill="1" applyAlignment="1">
      <alignment horizontal="justify" wrapText="1"/>
    </xf>
    <xf numFmtId="0" fontId="16" fillId="0" borderId="0" xfId="0" applyFont="1" applyFill="1" applyAlignment="1">
      <alignment horizontal="justify"/>
    </xf>
    <xf numFmtId="0" fontId="16" fillId="0" borderId="15" xfId="0" applyFont="1" applyFill="1" applyBorder="1" applyAlignment="1">
      <alignment/>
    </xf>
    <xf numFmtId="0" fontId="16" fillId="0" borderId="19" xfId="0" applyFont="1" applyFill="1" applyBorder="1" applyAlignment="1">
      <alignment horizontal="justify"/>
    </xf>
    <xf numFmtId="4" fontId="16" fillId="0" borderId="19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justify"/>
    </xf>
    <xf numFmtId="0" fontId="16" fillId="0" borderId="0" xfId="0" applyFont="1" applyFill="1" applyBorder="1" applyAlignment="1">
      <alignment horizontal="justify"/>
    </xf>
    <xf numFmtId="9" fontId="16" fillId="0" borderId="10" xfId="0" applyNumberFormat="1" applyFont="1" applyFill="1" applyBorder="1" applyAlignment="1">
      <alignment textRotation="90"/>
    </xf>
    <xf numFmtId="2" fontId="16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justify" vertical="distributed"/>
    </xf>
    <xf numFmtId="2" fontId="16" fillId="0" borderId="20" xfId="0" applyNumberFormat="1" applyFont="1" applyFill="1" applyBorder="1" applyAlignment="1">
      <alignment/>
    </xf>
    <xf numFmtId="1" fontId="16" fillId="0" borderId="20" xfId="0" applyNumberFormat="1" applyFont="1" applyFill="1" applyBorder="1" applyAlignment="1">
      <alignment/>
    </xf>
    <xf numFmtId="2" fontId="21" fillId="0" borderId="20" xfId="0" applyNumberFormat="1" applyFont="1" applyFill="1" applyBorder="1" applyAlignment="1">
      <alignment/>
    </xf>
    <xf numFmtId="0" fontId="16" fillId="0" borderId="19" xfId="0" applyFont="1" applyFill="1" applyBorder="1" applyAlignment="1">
      <alignment horizontal="center" vertical="center" wrapText="1"/>
    </xf>
    <xf numFmtId="2" fontId="16" fillId="0" borderId="19" xfId="0" applyNumberFormat="1" applyFont="1" applyFill="1" applyBorder="1" applyAlignment="1">
      <alignment horizontal="right" vertical="center" wrapText="1"/>
    </xf>
    <xf numFmtId="1" fontId="16" fillId="0" borderId="19" xfId="0" applyNumberFormat="1" applyFont="1" applyFill="1" applyBorder="1" applyAlignment="1">
      <alignment horizontal="justify" vertical="center" wrapText="1"/>
    </xf>
    <xf numFmtId="2" fontId="16" fillId="0" borderId="19" xfId="0" applyNumberFormat="1" applyFont="1" applyFill="1" applyBorder="1" applyAlignment="1">
      <alignment horizontal="justify" vertical="center" wrapText="1"/>
    </xf>
    <xf numFmtId="2" fontId="39" fillId="0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18" fillId="0" borderId="0" xfId="0" applyNumberFormat="1" applyFont="1" applyFill="1" applyAlignment="1">
      <alignment horizontal="justify"/>
    </xf>
    <xf numFmtId="1" fontId="5" fillId="0" borderId="0" xfId="0" applyNumberFormat="1" applyFont="1" applyFill="1" applyBorder="1" applyAlignment="1">
      <alignment/>
    </xf>
    <xf numFmtId="1" fontId="29" fillId="0" borderId="19" xfId="0" applyNumberFormat="1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1" fontId="20" fillId="0" borderId="10" xfId="0" applyNumberFormat="1" applyFont="1" applyFill="1" applyBorder="1" applyAlignment="1">
      <alignment/>
    </xf>
    <xf numFmtId="183" fontId="5" fillId="0" borderId="19" xfId="0" applyNumberFormat="1" applyFont="1" applyFill="1" applyBorder="1" applyAlignment="1">
      <alignment/>
    </xf>
    <xf numFmtId="183" fontId="33" fillId="0" borderId="19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183" fontId="16" fillId="0" borderId="19" xfId="0" applyNumberFormat="1" applyFont="1" applyFill="1" applyBorder="1" applyAlignment="1">
      <alignment/>
    </xf>
    <xf numFmtId="2" fontId="26" fillId="0" borderId="19" xfId="0" applyNumberFormat="1" applyFont="1" applyFill="1" applyBorder="1" applyAlignment="1">
      <alignment/>
    </xf>
    <xf numFmtId="2" fontId="3" fillId="0" borderId="4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1" fontId="26" fillId="0" borderId="19" xfId="0" applyNumberFormat="1" applyFont="1" applyFill="1" applyBorder="1" applyAlignment="1">
      <alignment/>
    </xf>
    <xf numFmtId="1" fontId="26" fillId="0" borderId="10" xfId="0" applyNumberFormat="1" applyFont="1" applyFill="1" applyBorder="1" applyAlignment="1">
      <alignment/>
    </xf>
    <xf numFmtId="1" fontId="26" fillId="0" borderId="17" xfId="0" applyNumberFormat="1" applyFont="1" applyFill="1" applyBorder="1" applyAlignment="1">
      <alignment/>
    </xf>
    <xf numFmtId="1" fontId="26" fillId="0" borderId="13" xfId="0" applyNumberFormat="1" applyFont="1" applyFill="1" applyBorder="1" applyAlignment="1">
      <alignment/>
    </xf>
    <xf numFmtId="1" fontId="21" fillId="0" borderId="19" xfId="0" applyNumberFormat="1" applyFont="1" applyFill="1" applyBorder="1" applyAlignment="1">
      <alignment/>
    </xf>
    <xf numFmtId="2" fontId="20" fillId="0" borderId="0" xfId="0" applyNumberFormat="1" applyFont="1" applyFill="1" applyAlignment="1">
      <alignment/>
    </xf>
    <xf numFmtId="0" fontId="26" fillId="0" borderId="19" xfId="0" applyFont="1" applyFill="1" applyBorder="1" applyAlignment="1">
      <alignment horizontal="justify" vertical="center"/>
    </xf>
    <xf numFmtId="1" fontId="5" fillId="0" borderId="13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justify" vertical="center" wrapText="1"/>
    </xf>
    <xf numFmtId="2" fontId="5" fillId="0" borderId="12" xfId="0" applyNumberFormat="1" applyFont="1" applyFill="1" applyBorder="1" applyAlignment="1">
      <alignment/>
    </xf>
    <xf numFmtId="2" fontId="5" fillId="0" borderId="21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2" fontId="5" fillId="0" borderId="16" xfId="0" applyNumberFormat="1" applyFont="1" applyFill="1" applyBorder="1" applyAlignment="1">
      <alignment/>
    </xf>
    <xf numFmtId="2" fontId="5" fillId="0" borderId="22" xfId="0" applyNumberFormat="1" applyFont="1" applyFill="1" applyBorder="1" applyAlignment="1">
      <alignment/>
    </xf>
    <xf numFmtId="2" fontId="21" fillId="0" borderId="18" xfId="0" applyNumberFormat="1" applyFont="1" applyFill="1" applyBorder="1" applyAlignment="1">
      <alignment/>
    </xf>
    <xf numFmtId="2" fontId="21" fillId="0" borderId="12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2" fontId="21" fillId="0" borderId="19" xfId="0" applyNumberFormat="1" applyFont="1" applyFill="1" applyBorder="1" applyAlignment="1">
      <alignment/>
    </xf>
    <xf numFmtId="49" fontId="41" fillId="0" borderId="19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justify" vertical="center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2" fontId="21" fillId="0" borderId="19" xfId="0" applyNumberFormat="1" applyFont="1" applyFill="1" applyBorder="1" applyAlignment="1">
      <alignment horizontal="right" vertical="center" wrapText="1"/>
    </xf>
    <xf numFmtId="183" fontId="21" fillId="0" borderId="19" xfId="0" applyNumberFormat="1" applyFont="1" applyFill="1" applyBorder="1" applyAlignment="1">
      <alignment/>
    </xf>
    <xf numFmtId="183" fontId="21" fillId="0" borderId="10" xfId="0" applyNumberFormat="1" applyFont="1" applyFill="1" applyBorder="1" applyAlignment="1">
      <alignment/>
    </xf>
    <xf numFmtId="1" fontId="34" fillId="0" borderId="19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justify" vertical="center"/>
    </xf>
    <xf numFmtId="2" fontId="3" fillId="0" borderId="17" xfId="0" applyNumberFormat="1" applyFont="1" applyFill="1" applyBorder="1" applyAlignment="1">
      <alignment/>
    </xf>
    <xf numFmtId="0" fontId="26" fillId="0" borderId="2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justify" vertical="center"/>
    </xf>
    <xf numFmtId="2" fontId="5" fillId="0" borderId="32" xfId="0" applyNumberFormat="1" applyFont="1" applyFill="1" applyBorder="1" applyAlignment="1">
      <alignment/>
    </xf>
    <xf numFmtId="0" fontId="5" fillId="0" borderId="25" xfId="0" applyFont="1" applyFill="1" applyBorder="1" applyAlignment="1">
      <alignment horizontal="justify" vertical="center"/>
    </xf>
    <xf numFmtId="2" fontId="5" fillId="0" borderId="42" xfId="0" applyNumberFormat="1" applyFont="1" applyFill="1" applyBorder="1" applyAlignment="1">
      <alignment/>
    </xf>
    <xf numFmtId="0" fontId="5" fillId="0" borderId="27" xfId="0" applyFont="1" applyFill="1" applyBorder="1" applyAlignment="1">
      <alignment horizontal="justify" vertical="center"/>
    </xf>
    <xf numFmtId="2" fontId="5" fillId="0" borderId="36" xfId="0" applyNumberFormat="1" applyFont="1" applyFill="1" applyBorder="1" applyAlignment="1">
      <alignment/>
    </xf>
    <xf numFmtId="2" fontId="5" fillId="0" borderId="43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3" fillId="0" borderId="30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180" fontId="3" fillId="0" borderId="29" xfId="0" applyNumberFormat="1" applyFont="1" applyFill="1" applyBorder="1" applyAlignment="1">
      <alignment/>
    </xf>
    <xf numFmtId="1" fontId="3" fillId="0" borderId="29" xfId="0" applyNumberFormat="1" applyFont="1" applyFill="1" applyBorder="1" applyAlignment="1">
      <alignment/>
    </xf>
    <xf numFmtId="1" fontId="2" fillId="0" borderId="29" xfId="0" applyNumberFormat="1" applyFont="1" applyFill="1" applyBorder="1" applyAlignment="1">
      <alignment horizontal="justify" vertical="center"/>
    </xf>
    <xf numFmtId="2" fontId="3" fillId="0" borderId="29" xfId="0" applyNumberFormat="1" applyFont="1" applyFill="1" applyBorder="1" applyAlignment="1">
      <alignment/>
    </xf>
    <xf numFmtId="2" fontId="2" fillId="0" borderId="29" xfId="0" applyNumberFormat="1" applyFont="1" applyFill="1" applyBorder="1" applyAlignment="1">
      <alignment/>
    </xf>
    <xf numFmtId="2" fontId="3" fillId="0" borderId="44" xfId="0" applyNumberFormat="1" applyFont="1" applyFill="1" applyBorder="1" applyAlignment="1">
      <alignment/>
    </xf>
    <xf numFmtId="2" fontId="21" fillId="0" borderId="19" xfId="0" applyNumberFormat="1" applyFont="1" applyFill="1" applyBorder="1" applyAlignment="1">
      <alignment horizontal="justify"/>
    </xf>
    <xf numFmtId="0" fontId="5" fillId="0" borderId="0" xfId="0" applyFont="1" applyFill="1" applyAlignment="1">
      <alignment horizontal="center"/>
    </xf>
    <xf numFmtId="0" fontId="16" fillId="0" borderId="13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5" fillId="0" borderId="13" xfId="0" applyFont="1" applyFill="1" applyBorder="1" applyAlignment="1">
      <alignment horizontal="justify" vertical="center" textRotation="90" wrapText="1"/>
    </xf>
    <xf numFmtId="0" fontId="5" fillId="0" borderId="17" xfId="0" applyFont="1" applyFill="1" applyBorder="1" applyAlignment="1">
      <alignment horizontal="justify" vertical="center" textRotation="90" wrapText="1"/>
    </xf>
    <xf numFmtId="0" fontId="5" fillId="0" borderId="19" xfId="0" applyFont="1" applyFill="1" applyBorder="1" applyAlignment="1">
      <alignment horizontal="justify" vertical="center" textRotation="90" wrapText="1"/>
    </xf>
    <xf numFmtId="9" fontId="16" fillId="0" borderId="38" xfId="0" applyNumberFormat="1" applyFont="1" applyFill="1" applyBorder="1" applyAlignment="1">
      <alignment horizontal="center" textRotation="90"/>
    </xf>
    <xf numFmtId="9" fontId="16" fillId="0" borderId="0" xfId="0" applyNumberFormat="1" applyFont="1" applyFill="1" applyBorder="1" applyAlignment="1">
      <alignment horizontal="center" textRotation="90"/>
    </xf>
    <xf numFmtId="9" fontId="16" fillId="0" borderId="11" xfId="0" applyNumberFormat="1" applyFont="1" applyFill="1" applyBorder="1" applyAlignment="1">
      <alignment horizontal="center" textRotation="90"/>
    </xf>
    <xf numFmtId="9" fontId="16" fillId="0" borderId="13" xfId="0" applyNumberFormat="1" applyFont="1" applyFill="1" applyBorder="1" applyAlignment="1">
      <alignment horizontal="center" textRotation="90"/>
    </xf>
    <xf numFmtId="0" fontId="16" fillId="0" borderId="17" xfId="0" applyFont="1" applyFill="1" applyBorder="1" applyAlignment="1">
      <alignment horizontal="center" textRotation="90"/>
    </xf>
    <xf numFmtId="0" fontId="16" fillId="0" borderId="19" xfId="0" applyFont="1" applyFill="1" applyBorder="1" applyAlignment="1">
      <alignment horizontal="center" textRotation="90"/>
    </xf>
    <xf numFmtId="9" fontId="16" fillId="0" borderId="13" xfId="0" applyNumberFormat="1" applyFont="1" applyFill="1" applyBorder="1" applyAlignment="1">
      <alignment horizontal="justify" vertical="center" textRotation="90"/>
    </xf>
    <xf numFmtId="0" fontId="16" fillId="0" borderId="17" xfId="0" applyFont="1" applyFill="1" applyBorder="1" applyAlignment="1">
      <alignment horizontal="justify" vertical="center" textRotation="90"/>
    </xf>
    <xf numFmtId="0" fontId="16" fillId="0" borderId="19" xfId="0" applyFont="1" applyFill="1" applyBorder="1" applyAlignment="1">
      <alignment horizontal="justify" vertical="center" textRotation="90"/>
    </xf>
    <xf numFmtId="0" fontId="16" fillId="0" borderId="13" xfId="0" applyFont="1" applyFill="1" applyBorder="1" applyAlignment="1">
      <alignment horizontal="center" textRotation="90"/>
    </xf>
    <xf numFmtId="9" fontId="9" fillId="0" borderId="0" xfId="0" applyNumberFormat="1" applyFont="1" applyFill="1" applyBorder="1" applyAlignment="1">
      <alignment horizontal="center" textRotation="90"/>
    </xf>
    <xf numFmtId="0" fontId="16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6" fillId="0" borderId="13" xfId="0" applyFont="1" applyFill="1" applyBorder="1" applyAlignment="1">
      <alignment horizontal="justify" vertical="center" textRotation="90"/>
    </xf>
    <xf numFmtId="9" fontId="16" fillId="0" borderId="17" xfId="0" applyNumberFormat="1" applyFont="1" applyFill="1" applyBorder="1" applyAlignment="1">
      <alignment horizontal="center" textRotation="90"/>
    </xf>
    <xf numFmtId="9" fontId="16" fillId="0" borderId="19" xfId="0" applyNumberFormat="1" applyFont="1" applyFill="1" applyBorder="1" applyAlignment="1">
      <alignment horizontal="center" textRotation="90"/>
    </xf>
    <xf numFmtId="2" fontId="16" fillId="0" borderId="10" xfId="0" applyNumberFormat="1" applyFont="1" applyFill="1" applyBorder="1" applyAlignment="1">
      <alignment horizontal="center"/>
    </xf>
    <xf numFmtId="0" fontId="36" fillId="0" borderId="13" xfId="0" applyFont="1" applyFill="1" applyBorder="1" applyAlignment="1">
      <alignment horizontal="justify" vertical="center" textRotation="90" wrapText="1"/>
    </xf>
    <xf numFmtId="0" fontId="36" fillId="0" borderId="17" xfId="0" applyFont="1" applyFill="1" applyBorder="1" applyAlignment="1">
      <alignment horizontal="justify" vertical="center" textRotation="90" wrapText="1"/>
    </xf>
    <xf numFmtId="0" fontId="36" fillId="0" borderId="19" xfId="0" applyFont="1" applyFill="1" applyBorder="1" applyAlignment="1">
      <alignment horizontal="justify" vertical="center" textRotation="90" wrapText="1"/>
    </xf>
    <xf numFmtId="0" fontId="16" fillId="0" borderId="20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9" fontId="16" fillId="0" borderId="13" xfId="0" applyNumberFormat="1" applyFont="1" applyFill="1" applyBorder="1" applyAlignment="1">
      <alignment horizontal="justify" vertical="center" textRotation="90" wrapText="1"/>
    </xf>
    <xf numFmtId="9" fontId="16" fillId="0" borderId="17" xfId="0" applyNumberFormat="1" applyFont="1" applyFill="1" applyBorder="1" applyAlignment="1">
      <alignment horizontal="justify" vertical="center" textRotation="90" wrapText="1"/>
    </xf>
    <xf numFmtId="9" fontId="16" fillId="0" borderId="19" xfId="0" applyNumberFormat="1" applyFont="1" applyFill="1" applyBorder="1" applyAlignment="1">
      <alignment horizontal="justify" vertical="center" textRotation="90" wrapText="1"/>
    </xf>
    <xf numFmtId="0" fontId="23" fillId="0" borderId="0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textRotation="90"/>
    </xf>
    <xf numFmtId="0" fontId="5" fillId="0" borderId="19" xfId="0" applyFont="1" applyFill="1" applyBorder="1" applyAlignment="1">
      <alignment horizontal="center" textRotation="90"/>
    </xf>
    <xf numFmtId="0" fontId="16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6" fillId="0" borderId="15" xfId="0" applyFont="1" applyFill="1" applyBorder="1" applyAlignment="1">
      <alignment horizontal="center"/>
    </xf>
    <xf numFmtId="9" fontId="3" fillId="0" borderId="13" xfId="0" applyNumberFormat="1" applyFont="1" applyFill="1" applyBorder="1" applyAlignment="1">
      <alignment horizontal="center" textRotation="90"/>
    </xf>
    <xf numFmtId="0" fontId="3" fillId="0" borderId="17" xfId="0" applyFont="1" applyFill="1" applyBorder="1" applyAlignment="1">
      <alignment horizontal="center" textRotation="90"/>
    </xf>
    <xf numFmtId="0" fontId="3" fillId="0" borderId="19" xfId="0" applyFont="1" applyFill="1" applyBorder="1" applyAlignment="1">
      <alignment horizontal="center" textRotation="90"/>
    </xf>
    <xf numFmtId="9" fontId="3" fillId="0" borderId="17" xfId="0" applyNumberFormat="1" applyFont="1" applyFill="1" applyBorder="1" applyAlignment="1">
      <alignment horizontal="center" textRotation="90"/>
    </xf>
    <xf numFmtId="0" fontId="3" fillId="0" borderId="0" xfId="0" applyFont="1" applyFill="1" applyAlignment="1">
      <alignment horizontal="left"/>
    </xf>
    <xf numFmtId="9" fontId="16" fillId="0" borderId="17" xfId="0" applyNumberFormat="1" applyFont="1" applyFill="1" applyBorder="1" applyAlignment="1">
      <alignment horizontal="justify" vertical="center" textRotation="90"/>
    </xf>
    <xf numFmtId="9" fontId="16" fillId="0" borderId="19" xfId="0" applyNumberFormat="1" applyFont="1" applyFill="1" applyBorder="1" applyAlignment="1">
      <alignment horizontal="justify" vertical="center" textRotation="90"/>
    </xf>
    <xf numFmtId="0" fontId="3" fillId="0" borderId="2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textRotation="90"/>
    </xf>
    <xf numFmtId="0" fontId="3" fillId="0" borderId="13" xfId="0" applyFont="1" applyFill="1" applyBorder="1" applyAlignment="1">
      <alignment horizontal="justify" vertical="center" textRotation="90"/>
    </xf>
    <xf numFmtId="0" fontId="3" fillId="0" borderId="17" xfId="0" applyFont="1" applyFill="1" applyBorder="1" applyAlignment="1">
      <alignment horizontal="justify" vertical="center" textRotation="90"/>
    </xf>
    <xf numFmtId="0" fontId="3" fillId="0" borderId="19" xfId="0" applyFont="1" applyFill="1" applyBorder="1" applyAlignment="1">
      <alignment horizontal="justify" vertical="center" textRotation="90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right"/>
    </xf>
    <xf numFmtId="2" fontId="3" fillId="0" borderId="19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 textRotation="90"/>
    </xf>
    <xf numFmtId="0" fontId="2" fillId="0" borderId="19" xfId="0" applyFont="1" applyFill="1" applyBorder="1" applyAlignment="1">
      <alignment horizontal="center" textRotation="90"/>
    </xf>
    <xf numFmtId="0" fontId="16" fillId="0" borderId="0" xfId="0" applyFont="1" applyFill="1" applyBorder="1" applyAlignment="1">
      <alignment horizontal="left"/>
    </xf>
    <xf numFmtId="2" fontId="3" fillId="0" borderId="13" xfId="0" applyNumberFormat="1" applyFont="1" applyFill="1" applyBorder="1" applyAlignment="1">
      <alignment horizontal="justify" vertical="center"/>
    </xf>
    <xf numFmtId="2" fontId="3" fillId="0" borderId="19" xfId="0" applyNumberFormat="1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justify" textRotation="90"/>
    </xf>
    <xf numFmtId="0" fontId="2" fillId="0" borderId="17" xfId="0" applyFont="1" applyFill="1" applyBorder="1" applyAlignment="1">
      <alignment horizontal="justify" textRotation="90"/>
    </xf>
    <xf numFmtId="0" fontId="2" fillId="0" borderId="19" xfId="0" applyFont="1" applyFill="1" applyBorder="1" applyAlignment="1">
      <alignment horizontal="justify" textRotation="90"/>
    </xf>
    <xf numFmtId="0" fontId="5" fillId="0" borderId="13" xfId="0" applyFont="1" applyFill="1" applyBorder="1" applyAlignment="1">
      <alignment horizontal="center" textRotation="90"/>
    </xf>
    <xf numFmtId="0" fontId="2" fillId="0" borderId="13" xfId="0" applyFont="1" applyFill="1" applyBorder="1" applyAlignment="1">
      <alignment horizontal="justify" vertical="center" textRotation="90"/>
    </xf>
    <xf numFmtId="0" fontId="2" fillId="0" borderId="17" xfId="0" applyFont="1" applyFill="1" applyBorder="1" applyAlignment="1">
      <alignment horizontal="justify" vertical="center" textRotation="90"/>
    </xf>
    <xf numFmtId="0" fontId="2" fillId="0" borderId="19" xfId="0" applyFont="1" applyFill="1" applyBorder="1" applyAlignment="1">
      <alignment horizontal="justify" vertical="center" textRotation="90"/>
    </xf>
    <xf numFmtId="9" fontId="16" fillId="0" borderId="10" xfId="0" applyNumberFormat="1" applyFont="1" applyFill="1" applyBorder="1" applyAlignment="1">
      <alignment horizontal="center" textRotation="90"/>
    </xf>
    <xf numFmtId="0" fontId="16" fillId="0" borderId="10" xfId="0" applyFont="1" applyFill="1" applyBorder="1" applyAlignment="1">
      <alignment horizontal="center" textRotation="90"/>
    </xf>
    <xf numFmtId="9" fontId="2" fillId="0" borderId="13" xfId="0" applyNumberFormat="1" applyFont="1" applyFill="1" applyBorder="1" applyAlignment="1">
      <alignment horizontal="justify" vertical="center" textRotation="90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9" fontId="5" fillId="0" borderId="13" xfId="0" applyNumberFormat="1" applyFont="1" applyFill="1" applyBorder="1" applyAlignment="1">
      <alignment horizontal="justify" vertical="center" textRotation="90"/>
    </xf>
    <xf numFmtId="0" fontId="5" fillId="0" borderId="17" xfId="0" applyFont="1" applyFill="1" applyBorder="1" applyAlignment="1">
      <alignment horizontal="justify" vertical="center" textRotation="90"/>
    </xf>
    <xf numFmtId="0" fontId="5" fillId="0" borderId="19" xfId="0" applyFont="1" applyFill="1" applyBorder="1" applyAlignment="1">
      <alignment horizontal="justify" vertical="center" textRotation="90"/>
    </xf>
    <xf numFmtId="0" fontId="21" fillId="0" borderId="13" xfId="0" applyFont="1" applyFill="1" applyBorder="1" applyAlignment="1">
      <alignment horizontal="justify" vertical="center" textRotation="90"/>
    </xf>
    <xf numFmtId="0" fontId="21" fillId="0" borderId="17" xfId="0" applyFont="1" applyFill="1" applyBorder="1" applyAlignment="1">
      <alignment horizontal="justify" vertical="center" textRotation="90"/>
    </xf>
    <xf numFmtId="0" fontId="21" fillId="0" borderId="19" xfId="0" applyFont="1" applyFill="1" applyBorder="1" applyAlignment="1">
      <alignment horizontal="justify" vertical="center" textRotation="90"/>
    </xf>
    <xf numFmtId="0" fontId="3" fillId="0" borderId="13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2" fontId="16" fillId="0" borderId="42" xfId="0" applyNumberFormat="1" applyFont="1" applyFill="1" applyBorder="1" applyAlignment="1">
      <alignment horizontal="center"/>
    </xf>
    <xf numFmtId="9" fontId="9" fillId="0" borderId="13" xfId="0" applyNumberFormat="1" applyFont="1" applyFill="1" applyBorder="1" applyAlignment="1">
      <alignment horizontal="center" textRotation="90"/>
    </xf>
    <xf numFmtId="0" fontId="9" fillId="0" borderId="17" xfId="0" applyFont="1" applyFill="1" applyBorder="1" applyAlignment="1">
      <alignment horizontal="center" textRotation="90"/>
    </xf>
    <xf numFmtId="0" fontId="9" fillId="0" borderId="19" xfId="0" applyFont="1" applyFill="1" applyBorder="1" applyAlignment="1">
      <alignment horizontal="center" textRotation="90"/>
    </xf>
    <xf numFmtId="0" fontId="9" fillId="0" borderId="13" xfId="0" applyFont="1" applyFill="1" applyBorder="1" applyAlignment="1">
      <alignment horizontal="center" textRotation="90"/>
    </xf>
    <xf numFmtId="0" fontId="9" fillId="0" borderId="0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2" fontId="16" fillId="0" borderId="13" xfId="0" applyNumberFormat="1" applyFont="1" applyFill="1" applyBorder="1" applyAlignment="1">
      <alignment horizontal="center"/>
    </xf>
    <xf numFmtId="2" fontId="16" fillId="0" borderId="19" xfId="0" applyNumberFormat="1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justify" vertical="center"/>
    </xf>
    <xf numFmtId="0" fontId="16" fillId="0" borderId="17" xfId="0" applyFont="1" applyFill="1" applyBorder="1" applyAlignment="1">
      <alignment horizontal="justify" vertical="center"/>
    </xf>
    <xf numFmtId="0" fontId="16" fillId="0" borderId="19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center" textRotation="90"/>
    </xf>
    <xf numFmtId="0" fontId="9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justify" vertical="center" textRotation="90"/>
    </xf>
    <xf numFmtId="0" fontId="9" fillId="0" borderId="17" xfId="0" applyFont="1" applyFill="1" applyBorder="1" applyAlignment="1">
      <alignment horizontal="justify" vertical="center" textRotation="90"/>
    </xf>
    <xf numFmtId="0" fontId="9" fillId="0" borderId="19" xfId="0" applyFont="1" applyFill="1" applyBorder="1" applyAlignment="1">
      <alignment horizontal="justify" vertical="center" textRotation="90"/>
    </xf>
    <xf numFmtId="0" fontId="16" fillId="0" borderId="17" xfId="0" applyFont="1" applyFill="1" applyBorder="1" applyAlignment="1">
      <alignment horizontal="center"/>
    </xf>
    <xf numFmtId="9" fontId="9" fillId="0" borderId="13" xfId="0" applyNumberFormat="1" applyFont="1" applyFill="1" applyBorder="1" applyAlignment="1">
      <alignment horizontal="justify" vertical="center" textRotation="90"/>
    </xf>
    <xf numFmtId="0" fontId="3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justify" vertical="center" textRotation="90"/>
    </xf>
    <xf numFmtId="0" fontId="40" fillId="0" borderId="17" xfId="0" applyFont="1" applyFill="1" applyBorder="1" applyAlignment="1">
      <alignment horizontal="justify" vertical="center" textRotation="90"/>
    </xf>
    <xf numFmtId="0" fontId="40" fillId="0" borderId="19" xfId="0" applyFont="1" applyFill="1" applyBorder="1" applyAlignment="1">
      <alignment horizontal="justify" vertical="center" textRotation="90"/>
    </xf>
    <xf numFmtId="9" fontId="3" fillId="0" borderId="0" xfId="0" applyNumberFormat="1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16" fillId="0" borderId="0" xfId="0" applyFont="1" applyFill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justify" vertical="center" textRotation="90"/>
    </xf>
    <xf numFmtId="0" fontId="3" fillId="0" borderId="1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justify" vertical="center"/>
    </xf>
    <xf numFmtId="0" fontId="3" fillId="0" borderId="19" xfId="0" applyFont="1" applyFill="1" applyBorder="1" applyAlignment="1">
      <alignment horizontal="justify" vertical="center"/>
    </xf>
    <xf numFmtId="0" fontId="9" fillId="0" borderId="45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2" fontId="9" fillId="0" borderId="36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right"/>
    </xf>
    <xf numFmtId="0" fontId="16" fillId="0" borderId="19" xfId="0" applyFont="1" applyFill="1" applyBorder="1" applyAlignment="1">
      <alignment horizontal="right"/>
    </xf>
    <xf numFmtId="2" fontId="9" fillId="0" borderId="32" xfId="0" applyNumberFormat="1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2" fontId="16" fillId="0" borderId="46" xfId="0" applyNumberFormat="1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2" fontId="16" fillId="0" borderId="29" xfId="0" applyNumberFormat="1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9" fontId="16" fillId="0" borderId="46" xfId="0" applyNumberFormat="1" applyFont="1" applyFill="1" applyBorder="1" applyAlignment="1">
      <alignment horizontal="center" vertical="center"/>
    </xf>
    <xf numFmtId="9" fontId="16" fillId="0" borderId="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2" fontId="16" fillId="0" borderId="44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6" fillId="0" borderId="36" xfId="0" applyNumberFormat="1" applyFont="1" applyFill="1" applyBorder="1" applyAlignment="1">
      <alignment horizontal="center"/>
    </xf>
    <xf numFmtId="2" fontId="16" fillId="0" borderId="43" xfId="0" applyNumberFormat="1" applyFont="1" applyFill="1" applyBorder="1" applyAlignment="1">
      <alignment horizontal="center"/>
    </xf>
    <xf numFmtId="1" fontId="16" fillId="0" borderId="46" xfId="0" applyNumberFormat="1" applyFont="1" applyFill="1" applyBorder="1" applyAlignment="1">
      <alignment horizontal="center"/>
    </xf>
    <xf numFmtId="2" fontId="16" fillId="0" borderId="13" xfId="0" applyNumberFormat="1" applyFont="1" applyFill="1" applyBorder="1" applyAlignment="1">
      <alignment horizontal="right"/>
    </xf>
    <xf numFmtId="2" fontId="16" fillId="0" borderId="19" xfId="0" applyNumberFormat="1" applyFont="1" applyFill="1" applyBorder="1" applyAlignment="1">
      <alignment horizontal="right"/>
    </xf>
    <xf numFmtId="2" fontId="9" fillId="0" borderId="19" xfId="0" applyNumberFormat="1" applyFont="1" applyFill="1" applyBorder="1" applyAlignment="1">
      <alignment horizontal="center"/>
    </xf>
    <xf numFmtId="2" fontId="9" fillId="0" borderId="40" xfId="0" applyNumberFormat="1" applyFont="1" applyFill="1" applyBorder="1" applyAlignment="1">
      <alignment horizontal="center"/>
    </xf>
    <xf numFmtId="2" fontId="9" fillId="0" borderId="42" xfId="0" applyNumberFormat="1" applyFont="1" applyFill="1" applyBorder="1" applyAlignment="1">
      <alignment horizontal="center"/>
    </xf>
    <xf numFmtId="2" fontId="9" fillId="0" borderId="48" xfId="0" applyNumberFormat="1" applyFont="1" applyFill="1" applyBorder="1" applyAlignment="1">
      <alignment horizontal="center"/>
    </xf>
    <xf numFmtId="2" fontId="9" fillId="0" borderId="49" xfId="0" applyNumberFormat="1" applyFont="1" applyFill="1" applyBorder="1" applyAlignment="1">
      <alignment horizontal="center"/>
    </xf>
    <xf numFmtId="2" fontId="9" fillId="0" borderId="50" xfId="0" applyNumberFormat="1" applyFont="1" applyFill="1" applyBorder="1" applyAlignment="1">
      <alignment horizontal="center"/>
    </xf>
    <xf numFmtId="2" fontId="9" fillId="0" borderId="45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justify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6" fillId="0" borderId="12" xfId="0" applyFont="1" applyFill="1" applyBorder="1" applyAlignment="1">
      <alignment horizontal="justify" vertical="center" textRotation="90"/>
    </xf>
    <xf numFmtId="0" fontId="16" fillId="0" borderId="16" xfId="0" applyFont="1" applyFill="1" applyBorder="1" applyAlignment="1">
      <alignment horizontal="justify" vertical="center" textRotation="90"/>
    </xf>
    <xf numFmtId="0" fontId="16" fillId="0" borderId="18" xfId="0" applyFont="1" applyFill="1" applyBorder="1" applyAlignment="1">
      <alignment horizontal="justify" vertical="center" textRotation="90"/>
    </xf>
    <xf numFmtId="0" fontId="21" fillId="0" borderId="13" xfId="0" applyFont="1" applyFill="1" applyBorder="1" applyAlignment="1">
      <alignment horizontal="justify" vertical="center" textRotation="90" wrapText="1"/>
    </xf>
    <xf numFmtId="0" fontId="21" fillId="0" borderId="17" xfId="0" applyFont="1" applyFill="1" applyBorder="1" applyAlignment="1">
      <alignment horizontal="justify" vertical="center" textRotation="90" wrapText="1"/>
    </xf>
    <xf numFmtId="0" fontId="21" fillId="0" borderId="19" xfId="0" applyFont="1" applyFill="1" applyBorder="1" applyAlignment="1">
      <alignment horizontal="justify" vertical="center" textRotation="90" wrapText="1"/>
    </xf>
    <xf numFmtId="0" fontId="21" fillId="0" borderId="13" xfId="0" applyFont="1" applyFill="1" applyBorder="1" applyAlignment="1">
      <alignment horizontal="center" textRotation="90"/>
    </xf>
    <xf numFmtId="0" fontId="21" fillId="0" borderId="17" xfId="0" applyFont="1" applyFill="1" applyBorder="1" applyAlignment="1">
      <alignment horizontal="center" textRotation="90"/>
    </xf>
    <xf numFmtId="0" fontId="21" fillId="0" borderId="19" xfId="0" applyFont="1" applyFill="1" applyBorder="1" applyAlignment="1">
      <alignment horizontal="center" textRotation="90"/>
    </xf>
    <xf numFmtId="0" fontId="19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9" fontId="21" fillId="0" borderId="13" xfId="0" applyNumberFormat="1" applyFont="1" applyFill="1" applyBorder="1" applyAlignment="1">
      <alignment horizontal="justify" vertical="center" textRotation="90"/>
    </xf>
    <xf numFmtId="0" fontId="5" fillId="0" borderId="19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justify" vertical="center" wrapText="1"/>
    </xf>
    <xf numFmtId="1" fontId="5" fillId="0" borderId="38" xfId="0" applyNumberFormat="1" applyFont="1" applyFill="1" applyBorder="1" applyAlignment="1">
      <alignment horizontal="justify" vertical="center" wrapText="1"/>
    </xf>
    <xf numFmtId="1" fontId="5" fillId="0" borderId="16" xfId="0" applyNumberFormat="1" applyFont="1" applyFill="1" applyBorder="1" applyAlignment="1">
      <alignment horizontal="justify" vertical="center" wrapText="1"/>
    </xf>
    <xf numFmtId="1" fontId="5" fillId="0" borderId="0" xfId="0" applyNumberFormat="1" applyFont="1" applyFill="1" applyBorder="1" applyAlignment="1">
      <alignment horizontal="justify" vertical="center" wrapText="1"/>
    </xf>
    <xf numFmtId="1" fontId="5" fillId="0" borderId="18" xfId="0" applyNumberFormat="1" applyFont="1" applyFill="1" applyBorder="1" applyAlignment="1">
      <alignment horizontal="justify" vertical="center" wrapText="1"/>
    </xf>
    <xf numFmtId="1" fontId="5" fillId="0" borderId="11" xfId="0" applyNumberFormat="1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16" fillId="0" borderId="22" xfId="0" applyFont="1" applyFill="1" applyBorder="1" applyAlignment="1">
      <alignment horizontal="center" textRotation="90"/>
    </xf>
    <xf numFmtId="0" fontId="16" fillId="0" borderId="39" xfId="0" applyFont="1" applyFill="1" applyBorder="1" applyAlignment="1">
      <alignment horizontal="center" textRotation="90"/>
    </xf>
    <xf numFmtId="0" fontId="16" fillId="0" borderId="17" xfId="0" applyFont="1" applyFill="1" applyBorder="1" applyAlignment="1">
      <alignment horizontal="justify" textRotation="90"/>
    </xf>
    <xf numFmtId="0" fontId="16" fillId="0" borderId="19" xfId="0" applyFont="1" applyFill="1" applyBorder="1" applyAlignment="1">
      <alignment horizontal="justify" textRotation="90"/>
    </xf>
    <xf numFmtId="9" fontId="21" fillId="0" borderId="17" xfId="0" applyNumberFormat="1" applyFont="1" applyFill="1" applyBorder="1" applyAlignment="1">
      <alignment horizontal="justify" vertical="center" textRotation="90" wrapText="1"/>
    </xf>
    <xf numFmtId="9" fontId="21" fillId="0" borderId="19" xfId="0" applyNumberFormat="1" applyFont="1" applyFill="1" applyBorder="1" applyAlignment="1">
      <alignment horizontal="justify" vertical="center" textRotation="90" wrapText="1"/>
    </xf>
    <xf numFmtId="0" fontId="18" fillId="0" borderId="0" xfId="0" applyFont="1" applyFill="1" applyBorder="1" applyAlignment="1">
      <alignment horizontal="justify" vertical="center" wrapText="1"/>
    </xf>
    <xf numFmtId="0" fontId="16" fillId="0" borderId="13" xfId="0" applyFont="1" applyFill="1" applyBorder="1" applyAlignment="1">
      <alignment horizontal="center" vertical="center" textRotation="90"/>
    </xf>
    <xf numFmtId="0" fontId="16" fillId="0" borderId="17" xfId="0" applyFont="1" applyFill="1" applyBorder="1" applyAlignment="1">
      <alignment horizontal="center" vertical="center" textRotation="90"/>
    </xf>
    <xf numFmtId="0" fontId="16" fillId="0" borderId="19" xfId="0" applyFont="1" applyFill="1" applyBorder="1" applyAlignment="1">
      <alignment horizontal="center" vertical="center" textRotation="90"/>
    </xf>
    <xf numFmtId="1" fontId="21" fillId="0" borderId="13" xfId="0" applyNumberFormat="1" applyFont="1" applyFill="1" applyBorder="1" applyAlignment="1">
      <alignment horizontal="justify" vertical="center"/>
    </xf>
    <xf numFmtId="1" fontId="21" fillId="0" borderId="19" xfId="0" applyNumberFormat="1" applyFont="1" applyFill="1" applyBorder="1" applyAlignment="1">
      <alignment horizontal="justify" vertical="center"/>
    </xf>
    <xf numFmtId="0" fontId="18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justify" vertical="center" textRotation="90"/>
    </xf>
    <xf numFmtId="0" fontId="21" fillId="0" borderId="10" xfId="0" applyFont="1" applyFill="1" applyBorder="1" applyAlignment="1">
      <alignment horizontal="center" textRotation="90"/>
    </xf>
    <xf numFmtId="0" fontId="21" fillId="0" borderId="10" xfId="0" applyFont="1" applyFill="1" applyBorder="1" applyAlignment="1">
      <alignment horizontal="justify" textRotation="90"/>
    </xf>
    <xf numFmtId="0" fontId="21" fillId="0" borderId="17" xfId="0" applyFont="1" applyFill="1" applyBorder="1" applyAlignment="1">
      <alignment horizontal="justify" textRotation="90"/>
    </xf>
    <xf numFmtId="0" fontId="21" fillId="0" borderId="19" xfId="0" applyFont="1" applyFill="1" applyBorder="1" applyAlignment="1">
      <alignment horizontal="justify" textRotation="90"/>
    </xf>
    <xf numFmtId="0" fontId="21" fillId="0" borderId="13" xfId="0" applyFont="1" applyFill="1" applyBorder="1" applyAlignment="1">
      <alignment horizontal="justify" textRotation="90"/>
    </xf>
    <xf numFmtId="0" fontId="21" fillId="0" borderId="13" xfId="0" applyFont="1" applyFill="1" applyBorder="1" applyAlignment="1">
      <alignment horizontal="center" vertical="center" textRotation="90"/>
    </xf>
    <xf numFmtId="0" fontId="21" fillId="0" borderId="17" xfId="0" applyFont="1" applyFill="1" applyBorder="1" applyAlignment="1">
      <alignment horizontal="center" vertical="center" textRotation="90"/>
    </xf>
    <xf numFmtId="0" fontId="21" fillId="0" borderId="19" xfId="0" applyFont="1" applyFill="1" applyBorder="1" applyAlignment="1">
      <alignment horizontal="center" vertical="center" textRotation="90"/>
    </xf>
    <xf numFmtId="0" fontId="33" fillId="0" borderId="12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textRotation="90"/>
    </xf>
    <xf numFmtId="0" fontId="36" fillId="0" borderId="39" xfId="0" applyFont="1" applyFill="1" applyBorder="1" applyAlignment="1">
      <alignment horizontal="center" textRotation="90"/>
    </xf>
    <xf numFmtId="0" fontId="18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50;-05\&#1052;&#1086;&#1080;%20&#1076;&#1086;&#1082;&#1091;&#1084;&#1077;&#1085;&#1090;&#1099;\Downloads\&#1085;&#1086;&#1074;.&#1096;&#1090;.&#1088;&#1086;&#1079;.%20&#1085;&#1072;%201.09.13%20&#1086;&#1089;.&#1079;%20&#1090;&#1072;&#1088;&#1080;&#1092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50;-05\&#1052;&#1086;&#1080;%20&#1076;&#1086;&#1082;&#1091;&#1084;&#1077;&#1085;&#1090;&#1099;\Downloads\&#1090;&#1072;&#1088;&#1080;&#1092;&#1110;&#1082;&#1072;&#1094;&#1110;&#1103;%202014-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96;&#1090;&#1072;&#1090;&#1080;%202015\&#1090;&#1072;&#1088;&#1080;&#1092;&#1110;&#1082;&#1072;&#1094;&#1110;&#1103;%202015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ші (2)з 01.09.13"/>
      <sheetName val="ДНЗ з 01.09.13"/>
      <sheetName val="школи з 01.09.13"/>
    </sheetNames>
    <sheetDataSet>
      <sheetData sheetId="1">
        <row r="732">
          <cell r="F732">
            <v>23.25</v>
          </cell>
        </row>
        <row r="733">
          <cell r="F733">
            <v>58.25</v>
          </cell>
        </row>
        <row r="735">
          <cell r="F735">
            <v>15</v>
          </cell>
        </row>
        <row r="736">
          <cell r="F736">
            <v>14</v>
          </cell>
        </row>
        <row r="737">
          <cell r="F737">
            <v>127</v>
          </cell>
        </row>
        <row r="738">
          <cell r="F738">
            <v>21.25</v>
          </cell>
        </row>
        <row r="739">
          <cell r="F739">
            <v>28</v>
          </cell>
        </row>
        <row r="740">
          <cell r="F740">
            <v>18.5</v>
          </cell>
        </row>
        <row r="741">
          <cell r="F741">
            <v>11.5</v>
          </cell>
        </row>
        <row r="742">
          <cell r="F742">
            <v>6</v>
          </cell>
        </row>
        <row r="743">
          <cell r="F743">
            <v>4.5</v>
          </cell>
        </row>
        <row r="744">
          <cell r="F744">
            <v>0.5</v>
          </cell>
        </row>
        <row r="745">
          <cell r="F745" t="e">
            <v>#VALUE!</v>
          </cell>
        </row>
      </sheetData>
      <sheetData sheetId="2">
        <row r="135">
          <cell r="D135">
            <v>2062</v>
          </cell>
        </row>
        <row r="739">
          <cell r="F739">
            <v>23</v>
          </cell>
        </row>
        <row r="740">
          <cell r="F740">
            <v>103.5</v>
          </cell>
        </row>
        <row r="741">
          <cell r="F741">
            <v>3</v>
          </cell>
        </row>
        <row r="742">
          <cell r="F742">
            <v>7.75</v>
          </cell>
        </row>
        <row r="743">
          <cell r="F743">
            <v>23.5</v>
          </cell>
        </row>
        <row r="744">
          <cell r="F744">
            <v>11.5</v>
          </cell>
        </row>
        <row r="746">
          <cell r="F746">
            <v>14</v>
          </cell>
        </row>
        <row r="747">
          <cell r="F747">
            <v>17</v>
          </cell>
        </row>
        <row r="748">
          <cell r="F748">
            <v>4.5</v>
          </cell>
        </row>
        <row r="749">
          <cell r="F749">
            <v>7.5</v>
          </cell>
        </row>
        <row r="750">
          <cell r="F750">
            <v>5</v>
          </cell>
        </row>
        <row r="751">
          <cell r="F751">
            <v>4</v>
          </cell>
        </row>
        <row r="752">
          <cell r="F752">
            <v>15.5</v>
          </cell>
        </row>
        <row r="753">
          <cell r="F753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.ть вар. та інвар.годин"/>
      <sheetName val="звед.з.пл."/>
      <sheetName val="ставки"/>
      <sheetName val="ДНЗ"/>
      <sheetName val="ШКОЛИ та ін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.ть вар. та інвар.годин"/>
      <sheetName val="звед.з.пл."/>
      <sheetName val="ставки"/>
      <sheetName val="2"/>
      <sheetName val="ДНЗ"/>
      <sheetName val="ШКОЛИ та ін."/>
    </sheetNames>
    <sheetDataSet>
      <sheetData sheetId="5">
        <row r="6">
          <cell r="J6">
            <v>29.72222222222222</v>
          </cell>
        </row>
        <row r="7">
          <cell r="J7">
            <v>26.97222222222222</v>
          </cell>
        </row>
        <row r="8">
          <cell r="J8">
            <v>17.11111111111111</v>
          </cell>
        </row>
        <row r="9">
          <cell r="J9">
            <v>36.22222222222222</v>
          </cell>
        </row>
        <row r="10">
          <cell r="J10">
            <v>42.75</v>
          </cell>
        </row>
        <row r="11">
          <cell r="J11">
            <v>40.361111111111114</v>
          </cell>
        </row>
        <row r="12">
          <cell r="J12">
            <v>42.416666666666664</v>
          </cell>
        </row>
        <row r="13">
          <cell r="J13">
            <v>14.277777777777779</v>
          </cell>
        </row>
        <row r="14">
          <cell r="J14">
            <v>14.694444444444445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I697"/>
  <sheetViews>
    <sheetView tabSelected="1" view="pageBreakPreview" zoomScale="75" zoomScaleSheetLayoutView="75" zoomScalePageLayoutView="0" workbookViewId="0" topLeftCell="A281">
      <selection activeCell="C311" sqref="C311:C317"/>
    </sheetView>
  </sheetViews>
  <sheetFormatPr defaultColWidth="9.00390625" defaultRowHeight="12.75"/>
  <cols>
    <col min="1" max="1" width="3.375" style="3" customWidth="1"/>
    <col min="2" max="2" width="22.75390625" style="3" customWidth="1"/>
    <col min="3" max="3" width="6.00390625" style="3" customWidth="1"/>
    <col min="4" max="4" width="7.875" style="3" customWidth="1"/>
    <col min="5" max="5" width="5.125" style="3" customWidth="1"/>
    <col min="6" max="6" width="10.25390625" style="3" customWidth="1"/>
    <col min="7" max="7" width="7.25390625" style="3" customWidth="1"/>
    <col min="8" max="8" width="10.25390625" style="3" customWidth="1"/>
    <col min="9" max="9" width="7.75390625" style="3" customWidth="1"/>
    <col min="10" max="10" width="8.25390625" style="3" customWidth="1"/>
    <col min="11" max="11" width="9.125" style="3" customWidth="1"/>
    <col min="12" max="12" width="7.25390625" style="3" customWidth="1"/>
    <col min="13" max="13" width="8.125" style="3" customWidth="1"/>
    <col min="14" max="14" width="8.625" style="3" customWidth="1"/>
    <col min="15" max="15" width="10.625" style="3" customWidth="1"/>
    <col min="16" max="16" width="8.75390625" style="3" customWidth="1"/>
    <col min="17" max="17" width="9.875" style="3" customWidth="1"/>
    <col min="18" max="18" width="10.75390625" style="3" customWidth="1"/>
    <col min="19" max="19" width="10.00390625" style="3" hidden="1" customWidth="1"/>
    <col min="20" max="20" width="7.875" style="3" hidden="1" customWidth="1"/>
    <col min="21" max="21" width="0" style="3" hidden="1" customWidth="1"/>
    <col min="22" max="22" width="16.00390625" style="3" hidden="1" customWidth="1"/>
    <col min="23" max="23" width="7.875" style="3" hidden="1" customWidth="1"/>
    <col min="24" max="25" width="11.75390625" style="3" hidden="1" customWidth="1"/>
    <col min="26" max="26" width="8.375" style="3" hidden="1" customWidth="1"/>
    <col min="27" max="27" width="6.625" style="3" hidden="1" customWidth="1"/>
    <col min="28" max="28" width="7.125" style="3" hidden="1" customWidth="1"/>
    <col min="29" max="29" width="12.625" style="3" hidden="1" customWidth="1"/>
    <col min="30" max="30" width="7.625" style="3" hidden="1" customWidth="1"/>
    <col min="31" max="31" width="5.75390625" style="3" customWidth="1"/>
    <col min="32" max="32" width="10.75390625" style="3" customWidth="1"/>
    <col min="33" max="33" width="12.625" style="3" customWidth="1"/>
    <col min="34" max="34" width="12.75390625" style="3" customWidth="1"/>
    <col min="35" max="16384" width="9.125" style="3" customWidth="1"/>
  </cols>
  <sheetData>
    <row r="1" spans="6:19" ht="15" hidden="1">
      <c r="F1" s="516"/>
      <c r="G1" s="516"/>
      <c r="H1" s="516"/>
      <c r="I1" s="516"/>
      <c r="J1" s="516"/>
      <c r="K1" s="516"/>
      <c r="L1" s="516"/>
      <c r="M1" s="2"/>
      <c r="N1" s="2"/>
      <c r="O1" s="2"/>
      <c r="P1" s="2"/>
      <c r="Q1" s="2"/>
      <c r="R1" s="2"/>
      <c r="S1" s="2"/>
    </row>
    <row r="2" ht="15" hidden="1"/>
    <row r="3" spans="10:17" ht="15" hidden="1">
      <c r="J3" s="522" t="s">
        <v>137</v>
      </c>
      <c r="K3" s="522"/>
      <c r="L3" s="522"/>
      <c r="M3" s="522"/>
      <c r="N3" s="522"/>
      <c r="O3" s="522"/>
      <c r="P3" s="194"/>
      <c r="Q3" s="194"/>
    </row>
    <row r="4" spans="10:18" ht="15" hidden="1">
      <c r="J4" s="2" t="s">
        <v>211</v>
      </c>
      <c r="K4" s="2"/>
      <c r="L4" s="2"/>
      <c r="M4" s="2"/>
      <c r="N4" s="2"/>
      <c r="O4" s="2"/>
      <c r="P4" s="2"/>
      <c r="Q4" s="2"/>
      <c r="R4" s="2"/>
    </row>
    <row r="5" spans="10:17" ht="15" hidden="1">
      <c r="J5" s="522" t="s">
        <v>183</v>
      </c>
      <c r="K5" s="522"/>
      <c r="L5" s="522"/>
      <c r="M5" s="522"/>
      <c r="N5" s="522"/>
      <c r="O5" s="522"/>
      <c r="P5" s="194"/>
      <c r="Q5" s="194"/>
    </row>
    <row r="6" spans="2:17" ht="15" hidden="1">
      <c r="B6" s="4" t="s">
        <v>209</v>
      </c>
      <c r="C6" s="5"/>
      <c r="J6" s="522" t="s">
        <v>210</v>
      </c>
      <c r="K6" s="522"/>
      <c r="L6" s="522"/>
      <c r="M6" s="522"/>
      <c r="N6" s="522"/>
      <c r="O6" s="522"/>
      <c r="P6" s="194"/>
      <c r="Q6" s="194"/>
    </row>
    <row r="7" spans="2:17" ht="15" hidden="1">
      <c r="B7" s="6" t="s">
        <v>100</v>
      </c>
      <c r="C7" s="6"/>
      <c r="J7" s="7"/>
      <c r="K7" s="7"/>
      <c r="L7" s="7"/>
      <c r="M7" s="7"/>
      <c r="N7" s="7"/>
      <c r="O7" s="7"/>
      <c r="P7" s="7"/>
      <c r="Q7" s="7"/>
    </row>
    <row r="8" spans="2:17" ht="15" hidden="1">
      <c r="B8" s="3" t="s">
        <v>16</v>
      </c>
      <c r="J8" s="7"/>
      <c r="K8" s="7"/>
      <c r="L8" s="7"/>
      <c r="M8" s="7"/>
      <c r="N8" s="7"/>
      <c r="O8" s="7"/>
      <c r="P8" s="7"/>
      <c r="Q8" s="7"/>
    </row>
    <row r="9" spans="10:17" ht="15" hidden="1">
      <c r="J9" s="7"/>
      <c r="K9" s="7"/>
      <c r="L9" s="7"/>
      <c r="M9" s="7"/>
      <c r="N9" s="7"/>
      <c r="O9" s="7"/>
      <c r="P9" s="7"/>
      <c r="Q9" s="7"/>
    </row>
    <row r="10" spans="10:17" ht="15" hidden="1">
      <c r="J10" s="7"/>
      <c r="K10" s="7"/>
      <c r="L10" s="7"/>
      <c r="M10" s="7"/>
      <c r="N10" s="7"/>
      <c r="O10" s="7"/>
      <c r="P10" s="7"/>
      <c r="Q10" s="7"/>
    </row>
    <row r="11" ht="15" hidden="1"/>
    <row r="12" spans="1:18" ht="12.75" customHeight="1" hidden="1">
      <c r="A12" s="531" t="s">
        <v>1</v>
      </c>
      <c r="B12" s="8" t="s">
        <v>2</v>
      </c>
      <c r="C12" s="61" t="s">
        <v>4</v>
      </c>
      <c r="D12" s="506" t="s">
        <v>112</v>
      </c>
      <c r="E12" s="576"/>
      <c r="F12" s="525" t="s">
        <v>7</v>
      </c>
      <c r="G12" s="526"/>
      <c r="H12" s="526"/>
      <c r="I12" s="10"/>
      <c r="J12" s="10" t="s">
        <v>8</v>
      </c>
      <c r="K12" s="10"/>
      <c r="L12" s="10"/>
      <c r="M12" s="10"/>
      <c r="N12" s="11"/>
      <c r="O12" s="8" t="s">
        <v>10</v>
      </c>
      <c r="P12" s="8"/>
      <c r="Q12" s="8"/>
      <c r="R12" s="9" t="s">
        <v>13</v>
      </c>
    </row>
    <row r="13" spans="1:18" ht="12.75" customHeight="1" hidden="1">
      <c r="A13" s="532"/>
      <c r="B13" s="13" t="s">
        <v>3</v>
      </c>
      <c r="C13" s="62" t="s">
        <v>5</v>
      </c>
      <c r="D13" s="508"/>
      <c r="E13" s="509"/>
      <c r="F13" s="542" t="s">
        <v>110</v>
      </c>
      <c r="G13" s="546" t="s">
        <v>111</v>
      </c>
      <c r="H13" s="546" t="s">
        <v>146</v>
      </c>
      <c r="I13" s="537" t="s">
        <v>109</v>
      </c>
      <c r="J13" s="546" t="s">
        <v>155</v>
      </c>
      <c r="K13" s="551" t="s">
        <v>156</v>
      </c>
      <c r="L13" s="546" t="s">
        <v>113</v>
      </c>
      <c r="M13" s="551"/>
      <c r="N13" s="546" t="s">
        <v>114</v>
      </c>
      <c r="O13" s="13" t="s">
        <v>11</v>
      </c>
      <c r="P13" s="13"/>
      <c r="Q13" s="13"/>
      <c r="R13" s="14" t="s">
        <v>11</v>
      </c>
    </row>
    <row r="14" spans="1:22" ht="30" hidden="1">
      <c r="A14" s="532"/>
      <c r="B14" s="13"/>
      <c r="C14" s="62" t="s">
        <v>6</v>
      </c>
      <c r="D14" s="508"/>
      <c r="E14" s="509"/>
      <c r="F14" s="543"/>
      <c r="G14" s="547"/>
      <c r="H14" s="547"/>
      <c r="I14" s="537"/>
      <c r="J14" s="547"/>
      <c r="K14" s="547"/>
      <c r="L14" s="547"/>
      <c r="M14" s="547"/>
      <c r="N14" s="547"/>
      <c r="O14" s="15" t="s">
        <v>12</v>
      </c>
      <c r="P14" s="15"/>
      <c r="Q14" s="15"/>
      <c r="R14" s="14" t="s">
        <v>14</v>
      </c>
      <c r="V14" s="3" t="s">
        <v>157</v>
      </c>
    </row>
    <row r="15" spans="1:22" ht="15" hidden="1">
      <c r="A15" s="12"/>
      <c r="B15" s="13"/>
      <c r="C15" s="62"/>
      <c r="D15" s="508"/>
      <c r="E15" s="509"/>
      <c r="F15" s="543"/>
      <c r="G15" s="547"/>
      <c r="H15" s="547"/>
      <c r="I15" s="537"/>
      <c r="J15" s="547"/>
      <c r="K15" s="547"/>
      <c r="L15" s="547"/>
      <c r="M15" s="547"/>
      <c r="N15" s="547"/>
      <c r="O15" s="15"/>
      <c r="P15" s="15"/>
      <c r="Q15" s="15"/>
      <c r="R15" s="14"/>
      <c r="T15" s="16">
        <f>O17+O18+O22+O23+O47</f>
        <v>0</v>
      </c>
      <c r="V15" s="16">
        <f>F48+G48+H48+I48+J48+K48+L48+N48</f>
        <v>0</v>
      </c>
    </row>
    <row r="16" spans="1:18" ht="84.75" customHeight="1" hidden="1">
      <c r="A16" s="17"/>
      <c r="B16" s="18"/>
      <c r="C16" s="63"/>
      <c r="D16" s="510"/>
      <c r="E16" s="511"/>
      <c r="F16" s="544"/>
      <c r="G16" s="548"/>
      <c r="H16" s="548"/>
      <c r="I16" s="538"/>
      <c r="J16" s="548"/>
      <c r="K16" s="548"/>
      <c r="L16" s="548"/>
      <c r="M16" s="548"/>
      <c r="N16" s="548"/>
      <c r="O16" s="19"/>
      <c r="P16" s="19"/>
      <c r="Q16" s="19"/>
      <c r="R16" s="20"/>
    </row>
    <row r="17" spans="1:18" ht="45" hidden="1">
      <c r="A17" s="21">
        <v>1</v>
      </c>
      <c r="B17" s="20"/>
      <c r="C17" s="22"/>
      <c r="D17" s="23"/>
      <c r="E17" s="24" t="s">
        <v>133</v>
      </c>
      <c r="F17" s="25">
        <f>(D17+I17+J17)*20%</f>
        <v>0</v>
      </c>
      <c r="G17" s="25"/>
      <c r="H17" s="26">
        <f>(D17*C17+I17+J17)*20%</f>
        <v>0</v>
      </c>
      <c r="I17" s="25">
        <f>D17*20%</f>
        <v>0</v>
      </c>
      <c r="J17" s="25">
        <f>D17*10%</f>
        <v>0</v>
      </c>
      <c r="K17" s="25"/>
      <c r="L17" s="25"/>
      <c r="M17" s="25"/>
      <c r="N17" s="25"/>
      <c r="O17" s="27">
        <f>D17*C17+F17+H17+I17+J17+K17+L17+M17+N17+G17</f>
        <v>0</v>
      </c>
      <c r="P17" s="27"/>
      <c r="Q17" s="27"/>
      <c r="R17" s="27">
        <f>O17*12</f>
        <v>0</v>
      </c>
    </row>
    <row r="18" spans="1:18" ht="18.75" customHeight="1" hidden="1">
      <c r="A18" s="603"/>
      <c r="B18" s="605"/>
      <c r="C18" s="560"/>
      <c r="D18" s="535">
        <f>D17*95%</f>
        <v>0</v>
      </c>
      <c r="E18" s="540" t="s">
        <v>126</v>
      </c>
      <c r="F18" s="535">
        <f>(D18+I18+J18)*30%</f>
        <v>0</v>
      </c>
      <c r="G18" s="533"/>
      <c r="H18" s="535">
        <f>(D18*C18+I18+J18)*20%</f>
        <v>0</v>
      </c>
      <c r="I18" s="533">
        <f>D18*20%</f>
        <v>0</v>
      </c>
      <c r="J18" s="533">
        <f>D18*10%</f>
        <v>0</v>
      </c>
      <c r="K18" s="533"/>
      <c r="L18" s="533"/>
      <c r="M18" s="533"/>
      <c r="N18" s="533"/>
      <c r="O18" s="533">
        <f>D18*C18+F18+H18+I18+J18+K18+L18+M18+N18+G18</f>
        <v>0</v>
      </c>
      <c r="P18" s="28"/>
      <c r="Q18" s="28"/>
      <c r="R18" s="533">
        <f aca="true" t="shared" si="0" ref="R18:R47">O18*12</f>
        <v>0</v>
      </c>
    </row>
    <row r="19" spans="1:18" ht="18" customHeight="1" hidden="1">
      <c r="A19" s="604"/>
      <c r="B19" s="606"/>
      <c r="C19" s="561"/>
      <c r="D19" s="536"/>
      <c r="E19" s="541"/>
      <c r="F19" s="536"/>
      <c r="G19" s="534"/>
      <c r="H19" s="536"/>
      <c r="I19" s="534"/>
      <c r="J19" s="534"/>
      <c r="K19" s="534"/>
      <c r="L19" s="534"/>
      <c r="M19" s="534"/>
      <c r="N19" s="534"/>
      <c r="O19" s="534"/>
      <c r="P19" s="29"/>
      <c r="Q19" s="29"/>
      <c r="R19" s="534"/>
    </row>
    <row r="20" spans="1:18" ht="24" customHeight="1" hidden="1">
      <c r="A20" s="30"/>
      <c r="B20" s="31"/>
      <c r="C20" s="31"/>
      <c r="D20" s="23"/>
      <c r="E20" s="24" t="s">
        <v>122</v>
      </c>
      <c r="F20" s="25">
        <f>(D20+J20)*30%</f>
        <v>0</v>
      </c>
      <c r="G20" s="25"/>
      <c r="H20" s="32">
        <f>(D20*C20+J20+I20)*20%</f>
        <v>0</v>
      </c>
      <c r="I20" s="25"/>
      <c r="J20" s="25">
        <f>D20*10%</f>
        <v>0</v>
      </c>
      <c r="K20" s="33"/>
      <c r="L20" s="33"/>
      <c r="M20" s="33"/>
      <c r="N20" s="33"/>
      <c r="O20" s="27">
        <f aca="true" t="shared" si="1" ref="O20:O25">D20*C20+F20+H20+I20+J20+K20+L20+M20+N20+G20</f>
        <v>0</v>
      </c>
      <c r="P20" s="27"/>
      <c r="Q20" s="27"/>
      <c r="R20" s="27">
        <f t="shared" si="0"/>
        <v>0</v>
      </c>
    </row>
    <row r="21" spans="1:18" ht="12" customHeight="1" hidden="1">
      <c r="A21" s="30"/>
      <c r="B21" s="31" t="s">
        <v>17</v>
      </c>
      <c r="C21" s="31"/>
      <c r="D21" s="34"/>
      <c r="E21" s="35"/>
      <c r="F21" s="36"/>
      <c r="G21" s="36"/>
      <c r="H21" s="32">
        <f>(D21*C21+J21+I21)*20%</f>
        <v>0</v>
      </c>
      <c r="I21" s="36">
        <f>D21*20%/2</f>
        <v>0</v>
      </c>
      <c r="J21" s="36">
        <f>D21*10%/2</f>
        <v>0</v>
      </c>
      <c r="K21" s="33"/>
      <c r="L21" s="33"/>
      <c r="M21" s="33"/>
      <c r="N21" s="33"/>
      <c r="O21" s="27">
        <f t="shared" si="1"/>
        <v>0</v>
      </c>
      <c r="P21" s="27"/>
      <c r="Q21" s="27"/>
      <c r="R21" s="27">
        <f t="shared" si="0"/>
        <v>0</v>
      </c>
    </row>
    <row r="22" spans="1:21" ht="45" hidden="1">
      <c r="A22" s="30"/>
      <c r="B22" s="31"/>
      <c r="C22" s="31"/>
      <c r="D22" s="23"/>
      <c r="E22" s="24" t="s">
        <v>122</v>
      </c>
      <c r="F22" s="25"/>
      <c r="G22" s="25"/>
      <c r="H22" s="32">
        <f>(D22*C22+J22+I22)*20%</f>
        <v>0</v>
      </c>
      <c r="I22" s="25"/>
      <c r="J22" s="25">
        <f>D22*10%</f>
        <v>0</v>
      </c>
      <c r="K22" s="33"/>
      <c r="L22" s="33"/>
      <c r="M22" s="33"/>
      <c r="N22" s="33"/>
      <c r="O22" s="27">
        <f t="shared" si="1"/>
        <v>0</v>
      </c>
      <c r="P22" s="27"/>
      <c r="Q22" s="27"/>
      <c r="R22" s="27">
        <f t="shared" si="0"/>
        <v>0</v>
      </c>
      <c r="T22" s="3" t="s">
        <v>148</v>
      </c>
      <c r="U22" s="16">
        <f>O17+O18+O20+O22+O23+O24+O25+O28+O29+O47</f>
        <v>0</v>
      </c>
    </row>
    <row r="23" spans="1:18" ht="45" hidden="1">
      <c r="A23" s="30"/>
      <c r="B23" s="31"/>
      <c r="C23" s="31"/>
      <c r="D23" s="23"/>
      <c r="E23" s="24" t="s">
        <v>117</v>
      </c>
      <c r="F23" s="25">
        <f>(D23+J23)*10%</f>
        <v>0</v>
      </c>
      <c r="G23" s="25"/>
      <c r="H23" s="32">
        <f>(D23*C23+J23+I23)*20%</f>
        <v>0</v>
      </c>
      <c r="I23" s="25"/>
      <c r="J23" s="25">
        <f>D23*10%</f>
        <v>0</v>
      </c>
      <c r="K23" s="33"/>
      <c r="L23" s="33"/>
      <c r="M23" s="33"/>
      <c r="N23" s="33"/>
      <c r="O23" s="27">
        <f t="shared" si="1"/>
        <v>0</v>
      </c>
      <c r="P23" s="27"/>
      <c r="Q23" s="27"/>
      <c r="R23" s="27">
        <f t="shared" si="0"/>
        <v>0</v>
      </c>
    </row>
    <row r="24" spans="1:18" ht="60" hidden="1">
      <c r="A24" s="30"/>
      <c r="B24" s="31"/>
      <c r="C24" s="31"/>
      <c r="D24" s="23"/>
      <c r="E24" s="24" t="s">
        <v>131</v>
      </c>
      <c r="F24" s="25"/>
      <c r="G24" s="25"/>
      <c r="H24" s="32"/>
      <c r="I24" s="25"/>
      <c r="J24" s="25">
        <f>D24*C24*10%</f>
        <v>0</v>
      </c>
      <c r="K24" s="33"/>
      <c r="L24" s="33"/>
      <c r="M24" s="33"/>
      <c r="N24" s="33"/>
      <c r="O24" s="27">
        <f>D24*C24+F24+H24+I24+J24+K24+L24+M24+N24+G24</f>
        <v>0</v>
      </c>
      <c r="P24" s="27"/>
      <c r="Q24" s="27"/>
      <c r="R24" s="27">
        <f t="shared" si="0"/>
        <v>0</v>
      </c>
    </row>
    <row r="25" spans="1:21" ht="45" hidden="1">
      <c r="A25" s="30"/>
      <c r="B25" s="31"/>
      <c r="C25" s="31"/>
      <c r="D25" s="23"/>
      <c r="E25" s="24" t="s">
        <v>125</v>
      </c>
      <c r="F25" s="25">
        <f>D25*30%</f>
        <v>0</v>
      </c>
      <c r="G25" s="25"/>
      <c r="H25" s="32">
        <f>D25*50%</f>
        <v>0</v>
      </c>
      <c r="I25" s="33">
        <f>D25*15%</f>
        <v>0</v>
      </c>
      <c r="J25" s="37"/>
      <c r="K25" s="33"/>
      <c r="L25" s="33"/>
      <c r="M25" s="33"/>
      <c r="N25" s="33"/>
      <c r="O25" s="27">
        <f t="shared" si="1"/>
        <v>0</v>
      </c>
      <c r="P25" s="27"/>
      <c r="Q25" s="27"/>
      <c r="R25" s="27">
        <f t="shared" si="0"/>
        <v>0</v>
      </c>
      <c r="T25" s="3">
        <f>C24</f>
        <v>0</v>
      </c>
      <c r="U25" s="3" t="s">
        <v>80</v>
      </c>
    </row>
    <row r="26" spans="1:21" ht="9" customHeight="1" hidden="1">
      <c r="A26" s="603"/>
      <c r="B26" s="31"/>
      <c r="C26" s="31"/>
      <c r="D26" s="23"/>
      <c r="E26" s="24"/>
      <c r="F26" s="533"/>
      <c r="G26" s="28"/>
      <c r="H26" s="533"/>
      <c r="I26" s="533"/>
      <c r="J26" s="533"/>
      <c r="K26" s="533"/>
      <c r="L26" s="533"/>
      <c r="M26" s="533"/>
      <c r="N26" s="533"/>
      <c r="O26" s="533">
        <f>D26*C26+F27+H27+I27+J27+K27+L27+M27+N27+G27</f>
        <v>0</v>
      </c>
      <c r="P26" s="28"/>
      <c r="Q26" s="28"/>
      <c r="R26" s="533">
        <f>O26*12</f>
        <v>0</v>
      </c>
      <c r="S26" s="16">
        <f>K32+K33+K34+M32+M33+M34+M38+I44+J44+L43+N44+N42</f>
        <v>0</v>
      </c>
      <c r="T26" s="3">
        <f>C17+C18+C22+C23+C47+C20</f>
        <v>0</v>
      </c>
      <c r="U26" s="3" t="s">
        <v>104</v>
      </c>
    </row>
    <row r="27" spans="1:21" ht="21.75" customHeight="1" hidden="1">
      <c r="A27" s="604"/>
      <c r="B27" s="31"/>
      <c r="C27" s="31"/>
      <c r="D27" s="23"/>
      <c r="E27" s="24" t="s">
        <v>117</v>
      </c>
      <c r="F27" s="534"/>
      <c r="G27" s="29"/>
      <c r="H27" s="534"/>
      <c r="I27" s="534"/>
      <c r="J27" s="534"/>
      <c r="K27" s="534"/>
      <c r="L27" s="534"/>
      <c r="M27" s="534"/>
      <c r="N27" s="534"/>
      <c r="O27" s="534"/>
      <c r="P27" s="29"/>
      <c r="Q27" s="29"/>
      <c r="R27" s="534"/>
      <c r="T27" s="3">
        <f>C25+C26+C28+C29+C30</f>
        <v>0</v>
      </c>
      <c r="U27" s="3" t="s">
        <v>105</v>
      </c>
    </row>
    <row r="28" spans="1:21" ht="45" hidden="1">
      <c r="A28" s="30">
        <v>1</v>
      </c>
      <c r="B28" s="66" t="s">
        <v>203</v>
      </c>
      <c r="C28" s="31"/>
      <c r="D28" s="23"/>
      <c r="E28" s="24" t="s">
        <v>117</v>
      </c>
      <c r="F28" s="33"/>
      <c r="G28" s="33"/>
      <c r="H28" s="33"/>
      <c r="I28" s="33"/>
      <c r="J28" s="33"/>
      <c r="K28" s="33"/>
      <c r="L28" s="33"/>
      <c r="M28" s="33"/>
      <c r="N28" s="33"/>
      <c r="O28" s="27">
        <f>D28*C28+F28+H28+I28+J28+K28+L28+M28+N28+G28</f>
        <v>0</v>
      </c>
      <c r="P28" s="27"/>
      <c r="Q28" s="27"/>
      <c r="R28" s="27">
        <f t="shared" si="0"/>
        <v>0</v>
      </c>
      <c r="T28" s="3">
        <f>C32+C33+C34+C35+C36+C37+C38+C39+C40+C41+C42+C43+C44+C45+C46+C31</f>
        <v>0</v>
      </c>
      <c r="U28" s="3" t="s">
        <v>82</v>
      </c>
    </row>
    <row r="29" spans="1:21" ht="45" hidden="1">
      <c r="A29" s="30"/>
      <c r="B29" s="31"/>
      <c r="C29" s="31"/>
      <c r="D29" s="23"/>
      <c r="E29" s="24" t="s">
        <v>118</v>
      </c>
      <c r="F29" s="33">
        <f>D29*30%</f>
        <v>0</v>
      </c>
      <c r="G29" s="33"/>
      <c r="H29" s="33"/>
      <c r="I29" s="33"/>
      <c r="J29" s="33"/>
      <c r="K29" s="33"/>
      <c r="L29" s="33"/>
      <c r="M29" s="33"/>
      <c r="N29" s="33"/>
      <c r="O29" s="27">
        <f aca="true" t="shared" si="2" ref="O29:O38">D29*C29+F29+H29+I29+J29+K29+L29+M29+N29+G29</f>
        <v>0</v>
      </c>
      <c r="P29" s="27"/>
      <c r="Q29" s="27"/>
      <c r="R29" s="27">
        <f t="shared" si="0"/>
        <v>0</v>
      </c>
      <c r="T29" s="3">
        <f>SUM(T25:T28)</f>
        <v>0</v>
      </c>
      <c r="U29" s="3" t="s">
        <v>64</v>
      </c>
    </row>
    <row r="30" spans="1:18" ht="45" hidden="1">
      <c r="A30" s="30"/>
      <c r="B30" s="31"/>
      <c r="C30" s="31"/>
      <c r="D30" s="23"/>
      <c r="E30" s="24" t="s">
        <v>121</v>
      </c>
      <c r="F30" s="33"/>
      <c r="G30" s="33"/>
      <c r="H30" s="33"/>
      <c r="I30" s="33"/>
      <c r="J30" s="33"/>
      <c r="K30" s="33"/>
      <c r="L30" s="33"/>
      <c r="M30" s="33"/>
      <c r="N30" s="33"/>
      <c r="O30" s="27">
        <f t="shared" si="2"/>
        <v>0</v>
      </c>
      <c r="P30" s="27"/>
      <c r="Q30" s="27"/>
      <c r="R30" s="27">
        <f t="shared" si="0"/>
        <v>0</v>
      </c>
    </row>
    <row r="31" spans="1:18" ht="45" hidden="1">
      <c r="A31" s="30"/>
      <c r="B31" s="31"/>
      <c r="C31" s="31"/>
      <c r="D31" s="23"/>
      <c r="E31" s="24" t="s">
        <v>124</v>
      </c>
      <c r="F31" s="33"/>
      <c r="G31" s="33"/>
      <c r="H31" s="33"/>
      <c r="I31" s="33"/>
      <c r="J31" s="33"/>
      <c r="K31" s="33"/>
      <c r="L31" s="33"/>
      <c r="M31" s="33"/>
      <c r="N31" s="33"/>
      <c r="O31" s="27">
        <f t="shared" si="2"/>
        <v>0</v>
      </c>
      <c r="P31" s="27"/>
      <c r="Q31" s="27"/>
      <c r="R31" s="27">
        <f t="shared" si="0"/>
        <v>0</v>
      </c>
    </row>
    <row r="32" spans="1:18" ht="45" hidden="1">
      <c r="A32" s="30"/>
      <c r="B32" s="31"/>
      <c r="C32" s="31"/>
      <c r="D32" s="23"/>
      <c r="E32" s="38" t="s">
        <v>118</v>
      </c>
      <c r="F32" s="33"/>
      <c r="G32" s="33">
        <f>D32*12%*C32</f>
        <v>0</v>
      </c>
      <c r="H32" s="33"/>
      <c r="I32" s="33"/>
      <c r="J32" s="33"/>
      <c r="K32" s="33">
        <f>D32*15%*C32</f>
        <v>0</v>
      </c>
      <c r="L32" s="33"/>
      <c r="M32" s="33"/>
      <c r="N32" s="33"/>
      <c r="O32" s="27">
        <f>D32*C32+F32+H32+I32+J32+K32+L32+M32+N32+G32</f>
        <v>0</v>
      </c>
      <c r="P32" s="27"/>
      <c r="Q32" s="27"/>
      <c r="R32" s="27">
        <f t="shared" si="0"/>
        <v>0</v>
      </c>
    </row>
    <row r="33" spans="1:18" ht="45" hidden="1">
      <c r="A33" s="30"/>
      <c r="B33" s="31"/>
      <c r="C33" s="31"/>
      <c r="D33" s="23"/>
      <c r="E33" s="38" t="s">
        <v>124</v>
      </c>
      <c r="F33" s="33"/>
      <c r="G33" s="33">
        <f>D33*12%*C33</f>
        <v>0</v>
      </c>
      <c r="H33" s="33"/>
      <c r="I33" s="33"/>
      <c r="J33" s="33"/>
      <c r="K33" s="33">
        <f>D33*15%*C33</f>
        <v>0</v>
      </c>
      <c r="L33" s="33"/>
      <c r="M33" s="33"/>
      <c r="N33" s="33"/>
      <c r="O33" s="27">
        <f t="shared" si="2"/>
        <v>0</v>
      </c>
      <c r="P33" s="27"/>
      <c r="Q33" s="27"/>
      <c r="R33" s="27">
        <f t="shared" si="0"/>
        <v>0</v>
      </c>
    </row>
    <row r="34" spans="1:18" ht="45" hidden="1">
      <c r="A34" s="30"/>
      <c r="B34" s="31"/>
      <c r="C34" s="31"/>
      <c r="D34" s="23"/>
      <c r="E34" s="38" t="s">
        <v>120</v>
      </c>
      <c r="F34" s="33"/>
      <c r="G34" s="33">
        <f>D34*12%*C34</f>
        <v>0</v>
      </c>
      <c r="H34" s="33"/>
      <c r="I34" s="33"/>
      <c r="J34" s="33"/>
      <c r="K34" s="33">
        <f>D34*15%*C34</f>
        <v>0</v>
      </c>
      <c r="L34" s="33"/>
      <c r="M34" s="33"/>
      <c r="N34" s="33"/>
      <c r="O34" s="27">
        <f t="shared" si="2"/>
        <v>0</v>
      </c>
      <c r="P34" s="27"/>
      <c r="Q34" s="27"/>
      <c r="R34" s="27">
        <f t="shared" si="0"/>
        <v>0</v>
      </c>
    </row>
    <row r="35" spans="1:18" ht="45" hidden="1">
      <c r="A35" s="30"/>
      <c r="B35" s="31"/>
      <c r="C35" s="31"/>
      <c r="D35" s="23"/>
      <c r="E35" s="38" t="s">
        <v>119</v>
      </c>
      <c r="F35" s="33"/>
      <c r="G35" s="33"/>
      <c r="H35" s="33"/>
      <c r="I35" s="33"/>
      <c r="J35" s="33"/>
      <c r="K35" s="33"/>
      <c r="L35" s="33"/>
      <c r="M35" s="33"/>
      <c r="N35" s="33"/>
      <c r="O35" s="27">
        <f t="shared" si="2"/>
        <v>0</v>
      </c>
      <c r="P35" s="27"/>
      <c r="Q35" s="27"/>
      <c r="R35" s="27">
        <f t="shared" si="0"/>
        <v>0</v>
      </c>
    </row>
    <row r="36" spans="1:18" ht="45" hidden="1">
      <c r="A36" s="30"/>
      <c r="B36" s="31"/>
      <c r="C36" s="31"/>
      <c r="D36" s="23"/>
      <c r="E36" s="24" t="s">
        <v>119</v>
      </c>
      <c r="F36" s="33"/>
      <c r="G36" s="33"/>
      <c r="H36" s="33"/>
      <c r="I36" s="33"/>
      <c r="J36" s="33"/>
      <c r="K36" s="33"/>
      <c r="L36" s="33"/>
      <c r="M36" s="33"/>
      <c r="N36" s="33"/>
      <c r="O36" s="27">
        <f t="shared" si="2"/>
        <v>0</v>
      </c>
      <c r="P36" s="27"/>
      <c r="Q36" s="27"/>
      <c r="R36" s="27">
        <f t="shared" si="0"/>
        <v>0</v>
      </c>
    </row>
    <row r="37" spans="1:18" ht="45" hidden="1">
      <c r="A37" s="30"/>
      <c r="B37" s="31"/>
      <c r="C37" s="31"/>
      <c r="D37" s="23"/>
      <c r="E37" s="24" t="s">
        <v>119</v>
      </c>
      <c r="F37" s="33"/>
      <c r="G37" s="33"/>
      <c r="H37" s="33"/>
      <c r="I37" s="33"/>
      <c r="J37" s="33"/>
      <c r="K37" s="33"/>
      <c r="L37" s="33"/>
      <c r="M37" s="33"/>
      <c r="N37" s="33"/>
      <c r="O37" s="27">
        <f t="shared" si="2"/>
        <v>0</v>
      </c>
      <c r="P37" s="27"/>
      <c r="Q37" s="27"/>
      <c r="R37" s="27">
        <f t="shared" si="0"/>
        <v>0</v>
      </c>
    </row>
    <row r="38" spans="1:18" ht="45" hidden="1">
      <c r="A38" s="30"/>
      <c r="B38" s="31"/>
      <c r="C38" s="31"/>
      <c r="D38" s="23"/>
      <c r="E38" s="24" t="s">
        <v>119</v>
      </c>
      <c r="F38" s="33"/>
      <c r="G38" s="33">
        <f>D38*12%*C38</f>
        <v>0</v>
      </c>
      <c r="H38" s="33"/>
      <c r="I38" s="33"/>
      <c r="J38" s="33"/>
      <c r="K38" s="33"/>
      <c r="L38" s="33"/>
      <c r="M38" s="33"/>
      <c r="N38" s="33"/>
      <c r="O38" s="27">
        <f t="shared" si="2"/>
        <v>0</v>
      </c>
      <c r="P38" s="27"/>
      <c r="Q38" s="27"/>
      <c r="R38" s="27">
        <f t="shared" si="0"/>
        <v>0</v>
      </c>
    </row>
    <row r="39" spans="1:18" ht="45" hidden="1">
      <c r="A39" s="30"/>
      <c r="B39" s="39"/>
      <c r="C39" s="31"/>
      <c r="D39" s="23"/>
      <c r="E39" s="38" t="s">
        <v>124</v>
      </c>
      <c r="F39" s="33"/>
      <c r="G39" s="33"/>
      <c r="H39" s="33"/>
      <c r="I39" s="33"/>
      <c r="J39" s="33"/>
      <c r="K39" s="33"/>
      <c r="L39" s="33"/>
      <c r="M39" s="33"/>
      <c r="N39" s="33"/>
      <c r="O39" s="27">
        <f>D39*C39+F39+H39+I39+J39+K39+L39+M39+N39+G39</f>
        <v>0</v>
      </c>
      <c r="P39" s="27"/>
      <c r="Q39" s="27"/>
      <c r="R39" s="27">
        <f t="shared" si="0"/>
        <v>0</v>
      </c>
    </row>
    <row r="40" spans="1:18" ht="47.25" customHeight="1" hidden="1">
      <c r="A40" s="30"/>
      <c r="B40" s="39" t="s">
        <v>182</v>
      </c>
      <c r="C40" s="31"/>
      <c r="D40" s="23"/>
      <c r="E40" s="38" t="s">
        <v>118</v>
      </c>
      <c r="F40" s="33"/>
      <c r="G40" s="33"/>
      <c r="H40" s="33"/>
      <c r="I40" s="33"/>
      <c r="J40" s="33"/>
      <c r="K40" s="33"/>
      <c r="L40" s="33"/>
      <c r="M40" s="33"/>
      <c r="N40" s="33"/>
      <c r="O40" s="27">
        <f>D40*C40+F40+H40+I40+J40+K40+L40+M40+N40+G40</f>
        <v>0</v>
      </c>
      <c r="P40" s="27"/>
      <c r="Q40" s="27"/>
      <c r="R40" s="27">
        <f t="shared" si="0"/>
        <v>0</v>
      </c>
    </row>
    <row r="41" spans="1:18" ht="31.5" customHeight="1" hidden="1">
      <c r="A41" s="30">
        <v>2</v>
      </c>
      <c r="B41" s="39" t="s">
        <v>184</v>
      </c>
      <c r="C41" s="31"/>
      <c r="D41" s="23"/>
      <c r="E41" s="24" t="s">
        <v>119</v>
      </c>
      <c r="F41" s="33"/>
      <c r="G41" s="33"/>
      <c r="H41" s="33"/>
      <c r="I41" s="33"/>
      <c r="J41" s="33"/>
      <c r="K41" s="33"/>
      <c r="L41" s="33">
        <f>D41*C41*10%</f>
        <v>0</v>
      </c>
      <c r="M41" s="33"/>
      <c r="N41" s="33"/>
      <c r="O41" s="27">
        <f>D41*C41+F41+H41+I41+J41+K41+L41+M41+N41+G41</f>
        <v>0</v>
      </c>
      <c r="P41" s="27"/>
      <c r="Q41" s="27"/>
      <c r="R41" s="27">
        <f t="shared" si="0"/>
        <v>0</v>
      </c>
    </row>
    <row r="42" spans="1:18" ht="45" hidden="1">
      <c r="A42" s="30">
        <v>3</v>
      </c>
      <c r="B42" s="31" t="s">
        <v>27</v>
      </c>
      <c r="C42" s="31"/>
      <c r="D42" s="23"/>
      <c r="E42" s="24" t="s">
        <v>119</v>
      </c>
      <c r="F42" s="33"/>
      <c r="G42" s="33"/>
      <c r="H42" s="33"/>
      <c r="I42" s="33"/>
      <c r="J42" s="33"/>
      <c r="K42" s="33"/>
      <c r="L42" s="33"/>
      <c r="M42" s="33"/>
      <c r="N42" s="1">
        <f>D42*C42*40%</f>
        <v>0</v>
      </c>
      <c r="O42" s="27">
        <f aca="true" t="shared" si="3" ref="O42:O47">D42*C42+F42+H42+I42+J42+K42+L42+M42+N42+G42</f>
        <v>0</v>
      </c>
      <c r="P42" s="27"/>
      <c r="Q42" s="27"/>
      <c r="R42" s="27">
        <f t="shared" si="0"/>
        <v>0</v>
      </c>
    </row>
    <row r="43" spans="1:18" ht="25.5" customHeight="1" hidden="1">
      <c r="A43" s="30">
        <v>4</v>
      </c>
      <c r="B43" s="31" t="s">
        <v>162</v>
      </c>
      <c r="C43" s="31"/>
      <c r="D43" s="23"/>
      <c r="E43" s="38" t="s">
        <v>120</v>
      </c>
      <c r="F43" s="33"/>
      <c r="G43" s="33"/>
      <c r="H43" s="33"/>
      <c r="I43" s="33"/>
      <c r="J43" s="33"/>
      <c r="K43" s="33"/>
      <c r="L43" s="33"/>
      <c r="M43" s="33"/>
      <c r="N43" s="33"/>
      <c r="O43" s="27">
        <f t="shared" si="3"/>
        <v>0</v>
      </c>
      <c r="P43" s="27"/>
      <c r="Q43" s="27"/>
      <c r="R43" s="27">
        <f t="shared" si="0"/>
        <v>0</v>
      </c>
    </row>
    <row r="44" spans="1:18" ht="45" hidden="1">
      <c r="A44" s="30"/>
      <c r="B44" s="31"/>
      <c r="C44" s="31"/>
      <c r="D44" s="23"/>
      <c r="E44" s="38" t="s">
        <v>118</v>
      </c>
      <c r="F44" s="33"/>
      <c r="G44" s="33"/>
      <c r="H44" s="33"/>
      <c r="I44" s="33">
        <f>D44*20%*3</f>
        <v>0</v>
      </c>
      <c r="J44" s="33">
        <f>D44*C44*10%</f>
        <v>0</v>
      </c>
      <c r="K44" s="33"/>
      <c r="L44" s="33"/>
      <c r="M44" s="33"/>
      <c r="N44" s="33">
        <f>D44*40%*4</f>
        <v>0</v>
      </c>
      <c r="O44" s="27">
        <f t="shared" si="3"/>
        <v>0</v>
      </c>
      <c r="P44" s="27"/>
      <c r="Q44" s="27"/>
      <c r="R44" s="27">
        <f t="shared" si="0"/>
        <v>0</v>
      </c>
    </row>
    <row r="45" spans="1:18" ht="45" hidden="1">
      <c r="A45" s="30"/>
      <c r="B45" s="31"/>
      <c r="C45" s="31"/>
      <c r="D45" s="23"/>
      <c r="E45" s="24" t="s">
        <v>119</v>
      </c>
      <c r="F45" s="33"/>
      <c r="G45" s="33"/>
      <c r="H45" s="33"/>
      <c r="I45" s="33"/>
      <c r="J45" s="33"/>
      <c r="K45" s="33"/>
      <c r="L45" s="33"/>
      <c r="M45" s="33"/>
      <c r="N45" s="33"/>
      <c r="O45" s="27">
        <f t="shared" si="3"/>
        <v>0</v>
      </c>
      <c r="P45" s="27"/>
      <c r="Q45" s="27"/>
      <c r="R45" s="27">
        <f t="shared" si="0"/>
        <v>0</v>
      </c>
    </row>
    <row r="46" spans="1:18" ht="45" hidden="1">
      <c r="A46" s="30"/>
      <c r="B46" s="31"/>
      <c r="C46" s="31"/>
      <c r="D46" s="23"/>
      <c r="E46" s="24" t="s">
        <v>119</v>
      </c>
      <c r="F46" s="33"/>
      <c r="G46" s="33"/>
      <c r="H46" s="33"/>
      <c r="I46" s="33"/>
      <c r="J46" s="33"/>
      <c r="K46" s="33"/>
      <c r="L46" s="33"/>
      <c r="M46" s="33"/>
      <c r="N46" s="33"/>
      <c r="O46" s="27">
        <f t="shared" si="3"/>
        <v>0</v>
      </c>
      <c r="P46" s="27"/>
      <c r="Q46" s="27"/>
      <c r="R46" s="27"/>
    </row>
    <row r="47" spans="1:18" ht="45" hidden="1">
      <c r="A47" s="30"/>
      <c r="B47" s="31"/>
      <c r="C47" s="31"/>
      <c r="D47" s="40"/>
      <c r="E47" s="24" t="s">
        <v>117</v>
      </c>
      <c r="F47" s="33">
        <f>D47*15%</f>
        <v>0</v>
      </c>
      <c r="G47" s="33"/>
      <c r="H47" s="33">
        <f>D47*20%</f>
        <v>0</v>
      </c>
      <c r="I47" s="33"/>
      <c r="J47" s="33"/>
      <c r="K47" s="33"/>
      <c r="L47" s="33"/>
      <c r="M47" s="33"/>
      <c r="N47" s="33"/>
      <c r="O47" s="27">
        <f t="shared" si="3"/>
        <v>0</v>
      </c>
      <c r="P47" s="27"/>
      <c r="Q47" s="27"/>
      <c r="R47" s="27">
        <f t="shared" si="0"/>
        <v>0</v>
      </c>
    </row>
    <row r="48" spans="1:18" ht="28.5" customHeight="1" hidden="1">
      <c r="A48" s="31"/>
      <c r="B48" s="31" t="s">
        <v>15</v>
      </c>
      <c r="C48" s="33">
        <f>SUM(C17:C47)</f>
        <v>0</v>
      </c>
      <c r="D48" s="40">
        <f>D28+D40+D41+D42*C42+D43</f>
        <v>0</v>
      </c>
      <c r="E48" s="40"/>
      <c r="F48" s="33">
        <f>SUM(F17:F47)</f>
        <v>0</v>
      </c>
      <c r="G48" s="33">
        <f>SUM(G17:G47)</f>
        <v>0</v>
      </c>
      <c r="H48" s="41">
        <f aca="true" t="shared" si="4" ref="H48:N48">SUM(H17:H47)</f>
        <v>0</v>
      </c>
      <c r="I48" s="33">
        <f t="shared" si="4"/>
        <v>0</v>
      </c>
      <c r="J48" s="33">
        <f t="shared" si="4"/>
        <v>0</v>
      </c>
      <c r="K48" s="33">
        <f t="shared" si="4"/>
        <v>0</v>
      </c>
      <c r="L48" s="33">
        <f t="shared" si="4"/>
        <v>0</v>
      </c>
      <c r="M48" s="33">
        <f t="shared" si="4"/>
        <v>0</v>
      </c>
      <c r="N48" s="1">
        <f t="shared" si="4"/>
        <v>0</v>
      </c>
      <c r="O48" s="33">
        <f>SUM(O17:O47)</f>
        <v>0</v>
      </c>
      <c r="P48" s="33"/>
      <c r="Q48" s="33"/>
      <c r="R48" s="33">
        <f>SUM(R17:R47)</f>
        <v>0</v>
      </c>
    </row>
    <row r="49" spans="1:18" ht="15" hidden="1">
      <c r="A49" s="7"/>
      <c r="B49" s="7"/>
      <c r="C49" s="42"/>
      <c r="D49" s="43"/>
      <c r="E49" s="43"/>
      <c r="F49" s="42"/>
      <c r="G49" s="42"/>
      <c r="H49" s="7"/>
      <c r="I49" s="7"/>
      <c r="J49" s="7"/>
      <c r="K49" s="7"/>
      <c r="L49" s="7"/>
      <c r="M49" s="7"/>
      <c r="N49" s="7"/>
      <c r="O49" s="42"/>
      <c r="P49" s="42"/>
      <c r="Q49" s="42"/>
      <c r="R49" s="42"/>
    </row>
    <row r="50" spans="1:18" ht="15" hidden="1">
      <c r="A50" s="7"/>
      <c r="B50" s="7"/>
      <c r="C50" s="42"/>
      <c r="D50" s="43">
        <f>D26+D28*C28+D29+D30+D31+D32+D33*C33+D34*C34+D35+D36+D37+D38*C38+D39*C39+D40+D41*C41+D42*C42+D43*C43+D44*C44+D45*C45+D46+D47</f>
        <v>0</v>
      </c>
      <c r="E50" s="43"/>
      <c r="F50" s="42"/>
      <c r="G50" s="42"/>
      <c r="H50" s="7"/>
      <c r="I50" s="7"/>
      <c r="J50" s="7"/>
      <c r="K50" s="7"/>
      <c r="L50" s="7"/>
      <c r="M50" s="7"/>
      <c r="N50" s="7"/>
      <c r="O50" s="42"/>
      <c r="P50" s="42"/>
      <c r="Q50" s="42"/>
      <c r="R50" s="42"/>
    </row>
    <row r="51" spans="1:18" ht="15" hidden="1">
      <c r="A51" s="7"/>
      <c r="B51" s="7"/>
      <c r="C51" s="42"/>
      <c r="D51" s="43"/>
      <c r="E51" s="43"/>
      <c r="F51" s="42"/>
      <c r="G51" s="42"/>
      <c r="H51" s="7"/>
      <c r="I51" s="7"/>
      <c r="J51" s="7"/>
      <c r="K51" s="7"/>
      <c r="L51" s="7"/>
      <c r="M51" s="7"/>
      <c r="N51" s="7"/>
      <c r="O51" s="42"/>
      <c r="P51" s="42"/>
      <c r="Q51" s="42"/>
      <c r="R51" s="42"/>
    </row>
    <row r="52" spans="1:18" ht="15" hidden="1">
      <c r="A52" s="7"/>
      <c r="B52" s="7"/>
      <c r="C52" s="42"/>
      <c r="D52" s="43"/>
      <c r="E52" s="43"/>
      <c r="F52" s="42"/>
      <c r="G52" s="42"/>
      <c r="H52" s="7"/>
      <c r="I52" s="7"/>
      <c r="J52" s="7"/>
      <c r="K52" s="7"/>
      <c r="L52" s="7"/>
      <c r="M52" s="7"/>
      <c r="N52" s="7"/>
      <c r="O52" s="42"/>
      <c r="P52" s="42"/>
      <c r="Q52" s="42"/>
      <c r="R52" s="42"/>
    </row>
    <row r="53" spans="6:7" ht="15" hidden="1">
      <c r="F53" s="16"/>
      <c r="G53" s="16"/>
    </row>
    <row r="54" ht="15" hidden="1"/>
    <row r="55" ht="14.25" customHeight="1" hidden="1"/>
    <row r="56" ht="11.25" customHeight="1" hidden="1"/>
    <row r="57" ht="15" hidden="1"/>
    <row r="58" spans="1:17" ht="15" hidden="1">
      <c r="A58" s="516" t="s">
        <v>192</v>
      </c>
      <c r="B58" s="516"/>
      <c r="C58" s="516"/>
      <c r="D58" s="516"/>
      <c r="E58" s="516"/>
      <c r="F58" s="516"/>
      <c r="G58" s="516"/>
      <c r="H58" s="516"/>
      <c r="I58" s="516"/>
      <c r="J58" s="516"/>
      <c r="K58" s="516"/>
      <c r="L58" s="516"/>
      <c r="M58" s="516"/>
      <c r="N58" s="516"/>
      <c r="O58" s="516"/>
      <c r="P58" s="408"/>
      <c r="Q58" s="408"/>
    </row>
    <row r="59" spans="18:21" ht="18" customHeight="1" hidden="1">
      <c r="R59" s="2"/>
      <c r="S59" s="2"/>
      <c r="T59" s="2"/>
      <c r="U59" s="2"/>
    </row>
    <row r="60" ht="12.75" customHeight="1" hidden="1"/>
    <row r="61" spans="1:17" ht="15" hidden="1">
      <c r="A61" s="516"/>
      <c r="B61" s="516"/>
      <c r="C61" s="516"/>
      <c r="D61" s="516"/>
      <c r="E61" s="516"/>
      <c r="F61" s="516"/>
      <c r="G61" s="516"/>
      <c r="H61" s="516"/>
      <c r="I61" s="516"/>
      <c r="J61" s="516"/>
      <c r="K61" s="516"/>
      <c r="L61" s="516"/>
      <c r="M61" s="516"/>
      <c r="N61" s="516"/>
      <c r="O61" s="516"/>
      <c r="P61" s="408"/>
      <c r="Q61" s="408"/>
    </row>
    <row r="62" ht="15" hidden="1">
      <c r="B62" s="3" t="s">
        <v>191</v>
      </c>
    </row>
    <row r="63" ht="15" hidden="1"/>
    <row r="64" ht="15" hidden="1"/>
    <row r="65" spans="1:18" ht="20.25">
      <c r="A65" s="172"/>
      <c r="B65" s="172"/>
      <c r="C65" s="172"/>
      <c r="D65" s="172"/>
      <c r="E65" s="172"/>
      <c r="F65" s="172"/>
      <c r="G65" s="172"/>
      <c r="H65" s="196"/>
      <c r="I65" s="172"/>
      <c r="J65" s="487" t="s">
        <v>312</v>
      </c>
      <c r="K65" s="487"/>
      <c r="L65" s="487"/>
      <c r="M65" s="487"/>
      <c r="N65" s="487"/>
      <c r="O65" s="487"/>
      <c r="P65" s="358"/>
      <c r="Q65" s="358"/>
      <c r="R65" s="172"/>
    </row>
    <row r="66" spans="1:18" ht="12.75" customHeight="1" hidden="1">
      <c r="A66" s="172"/>
      <c r="B66" s="172"/>
      <c r="C66" s="172"/>
      <c r="D66" s="172"/>
      <c r="E66" s="172"/>
      <c r="F66" s="172"/>
      <c r="G66" s="172"/>
      <c r="H66" s="172"/>
      <c r="I66" s="172"/>
      <c r="J66" s="487"/>
      <c r="K66" s="487"/>
      <c r="L66" s="487"/>
      <c r="M66" s="487"/>
      <c r="N66" s="487"/>
      <c r="O66" s="487"/>
      <c r="P66" s="358"/>
      <c r="Q66" s="358"/>
      <c r="R66" s="172"/>
    </row>
    <row r="67" spans="1:18" ht="12.75" customHeight="1" hidden="1">
      <c r="A67" s="172"/>
      <c r="B67" s="172"/>
      <c r="C67" s="172"/>
      <c r="D67" s="172"/>
      <c r="E67" s="172"/>
      <c r="F67" s="172"/>
      <c r="G67" s="172"/>
      <c r="H67" s="172"/>
      <c r="I67" s="172"/>
      <c r="J67" s="487"/>
      <c r="K67" s="487"/>
      <c r="L67" s="487"/>
      <c r="M67" s="487"/>
      <c r="N67" s="487"/>
      <c r="O67" s="487"/>
      <c r="P67" s="358"/>
      <c r="Q67" s="358"/>
      <c r="R67" s="172"/>
    </row>
    <row r="68" spans="1:18" ht="12.75" customHeight="1" hidden="1">
      <c r="A68" s="172"/>
      <c r="B68" s="172"/>
      <c r="C68" s="172"/>
      <c r="D68" s="172"/>
      <c r="E68" s="172"/>
      <c r="F68" s="172"/>
      <c r="G68" s="172"/>
      <c r="H68" s="172"/>
      <c r="I68" s="172"/>
      <c r="J68" s="487"/>
      <c r="K68" s="487"/>
      <c r="L68" s="487"/>
      <c r="M68" s="487"/>
      <c r="N68" s="487"/>
      <c r="O68" s="487"/>
      <c r="P68" s="358"/>
      <c r="Q68" s="358"/>
      <c r="R68" s="172"/>
    </row>
    <row r="69" spans="1:18" ht="12.75" customHeight="1" hidden="1">
      <c r="A69" s="172"/>
      <c r="B69" s="172"/>
      <c r="C69" s="172"/>
      <c r="D69" s="172"/>
      <c r="E69" s="172"/>
      <c r="F69" s="172"/>
      <c r="G69" s="172"/>
      <c r="H69" s="172"/>
      <c r="I69" s="172"/>
      <c r="J69" s="487"/>
      <c r="K69" s="487"/>
      <c r="L69" s="487"/>
      <c r="M69" s="487"/>
      <c r="N69" s="487"/>
      <c r="O69" s="487"/>
      <c r="P69" s="358"/>
      <c r="Q69" s="358"/>
      <c r="R69" s="172"/>
    </row>
    <row r="70" spans="1:18" ht="15.75">
      <c r="A70" s="172"/>
      <c r="B70" s="172"/>
      <c r="C70" s="172"/>
      <c r="D70" s="172"/>
      <c r="E70" s="172"/>
      <c r="F70" s="172"/>
      <c r="G70" s="172"/>
      <c r="H70" s="172"/>
      <c r="I70" s="172"/>
      <c r="J70" s="200" t="s">
        <v>359</v>
      </c>
      <c r="K70" s="172"/>
      <c r="L70" s="172"/>
      <c r="M70" s="172"/>
      <c r="N70" s="172"/>
      <c r="O70" s="172"/>
      <c r="P70" s="172"/>
      <c r="Q70" s="172"/>
      <c r="R70" s="172"/>
    </row>
    <row r="71" spans="1:18" ht="15.75">
      <c r="A71" s="172"/>
      <c r="B71" s="172"/>
      <c r="C71" s="172"/>
      <c r="D71" s="172"/>
      <c r="E71" s="172"/>
      <c r="F71" s="172"/>
      <c r="G71" s="172"/>
      <c r="H71" s="172"/>
      <c r="I71" s="172"/>
      <c r="J71" s="200" t="s">
        <v>308</v>
      </c>
      <c r="K71" s="200"/>
      <c r="L71" s="200"/>
      <c r="M71" s="200"/>
      <c r="N71" s="200"/>
      <c r="O71" s="200"/>
      <c r="P71" s="200"/>
      <c r="Q71" s="200"/>
      <c r="R71" s="198"/>
    </row>
    <row r="72" spans="1:18" ht="15.75">
      <c r="A72" s="172"/>
      <c r="B72" s="512" t="s">
        <v>369</v>
      </c>
      <c r="C72" s="512"/>
      <c r="D72" s="512"/>
      <c r="E72" s="512"/>
      <c r="F72" s="512"/>
      <c r="G72" s="512"/>
      <c r="H72" s="512"/>
      <c r="I72" s="172"/>
      <c r="J72" s="597" t="s">
        <v>385</v>
      </c>
      <c r="K72" s="597"/>
      <c r="L72" s="597"/>
      <c r="M72" s="597"/>
      <c r="N72" s="597"/>
      <c r="O72" s="597"/>
      <c r="P72" s="200"/>
      <c r="Q72" s="200"/>
      <c r="R72" s="172"/>
    </row>
    <row r="73" spans="1:18" ht="18.75">
      <c r="A73" s="172"/>
      <c r="B73" s="501" t="s">
        <v>289</v>
      </c>
      <c r="C73" s="501"/>
      <c r="D73" s="501"/>
      <c r="E73" s="501"/>
      <c r="F73" s="501"/>
      <c r="G73" s="501"/>
      <c r="H73" s="501"/>
      <c r="I73" s="172"/>
      <c r="J73" s="597"/>
      <c r="K73" s="597"/>
      <c r="L73" s="597"/>
      <c r="M73" s="597"/>
      <c r="N73" s="597"/>
      <c r="O73" s="597"/>
      <c r="P73" s="200"/>
      <c r="Q73" s="200"/>
      <c r="R73" s="172"/>
    </row>
    <row r="74" spans="1:18" ht="15.75">
      <c r="A74" s="172"/>
      <c r="B74" s="173"/>
      <c r="C74" s="173" t="s">
        <v>16</v>
      </c>
      <c r="D74" s="173"/>
      <c r="E74" s="172"/>
      <c r="F74" s="172"/>
      <c r="G74" s="172"/>
      <c r="H74" s="172"/>
      <c r="I74" s="172"/>
      <c r="J74" s="176"/>
      <c r="K74" s="176"/>
      <c r="L74" s="176"/>
      <c r="M74" s="176"/>
      <c r="N74" s="176"/>
      <c r="O74" s="176"/>
      <c r="P74" s="176"/>
      <c r="Q74" s="176"/>
      <c r="R74" s="172"/>
    </row>
    <row r="75" spans="1:18" ht="15.75">
      <c r="A75" s="172"/>
      <c r="B75" s="173"/>
      <c r="C75" s="173"/>
      <c r="D75" s="173"/>
      <c r="E75" s="172"/>
      <c r="F75" s="172"/>
      <c r="G75" s="172"/>
      <c r="H75" s="172"/>
      <c r="I75" s="172"/>
      <c r="J75" s="176"/>
      <c r="K75" s="176"/>
      <c r="L75" s="176"/>
      <c r="M75" s="176"/>
      <c r="N75" s="176"/>
      <c r="O75" s="176"/>
      <c r="P75" s="176"/>
      <c r="Q75" s="176"/>
      <c r="R75" s="172"/>
    </row>
    <row r="76" spans="1:18" ht="15.75">
      <c r="A76" s="172"/>
      <c r="B76" s="173" t="s">
        <v>307</v>
      </c>
      <c r="C76" s="173"/>
      <c r="D76" s="173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</row>
    <row r="77" spans="1:18" ht="1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</row>
    <row r="78" spans="1:22" ht="12.75" customHeight="1">
      <c r="A78" s="654" t="s">
        <v>1</v>
      </c>
      <c r="B78" s="236" t="s">
        <v>2</v>
      </c>
      <c r="C78" s="237" t="s">
        <v>4</v>
      </c>
      <c r="D78" s="504" t="s">
        <v>321</v>
      </c>
      <c r="E78" s="504" t="s">
        <v>322</v>
      </c>
      <c r="F78" s="562" t="s">
        <v>7</v>
      </c>
      <c r="G78" s="562"/>
      <c r="H78" s="598" t="s">
        <v>8</v>
      </c>
      <c r="I78" s="599"/>
      <c r="J78" s="599"/>
      <c r="K78" s="599"/>
      <c r="L78" s="600"/>
      <c r="M78" s="600"/>
      <c r="N78" s="601"/>
      <c r="O78" s="236" t="s">
        <v>10</v>
      </c>
      <c r="P78" s="493" t="s">
        <v>339</v>
      </c>
      <c r="Q78" s="473" t="s">
        <v>340</v>
      </c>
      <c r="R78" s="237" t="s">
        <v>13</v>
      </c>
      <c r="V78" s="3" t="s">
        <v>157</v>
      </c>
    </row>
    <row r="79" spans="1:22" ht="12.75" customHeight="1">
      <c r="A79" s="655"/>
      <c r="B79" s="242" t="s">
        <v>3</v>
      </c>
      <c r="C79" s="242" t="s">
        <v>5</v>
      </c>
      <c r="D79" s="504"/>
      <c r="E79" s="504"/>
      <c r="F79" s="513" t="s">
        <v>18</v>
      </c>
      <c r="G79" s="557"/>
      <c r="H79" s="557" t="s">
        <v>201</v>
      </c>
      <c r="I79" s="545" t="s">
        <v>267</v>
      </c>
      <c r="J79" s="602"/>
      <c r="K79" s="545"/>
      <c r="L79" s="602" t="s">
        <v>113</v>
      </c>
      <c r="M79" s="554"/>
      <c r="N79" s="557" t="s">
        <v>114</v>
      </c>
      <c r="O79" s="242" t="s">
        <v>11</v>
      </c>
      <c r="P79" s="494"/>
      <c r="Q79" s="474"/>
      <c r="R79" s="243" t="s">
        <v>11</v>
      </c>
      <c r="V79" s="16">
        <f>F101+G101+L101+N101</f>
        <v>10464.240000000002</v>
      </c>
    </row>
    <row r="80" spans="1:18" ht="15">
      <c r="A80" s="655"/>
      <c r="B80" s="242"/>
      <c r="C80" s="242" t="s">
        <v>6</v>
      </c>
      <c r="D80" s="504"/>
      <c r="E80" s="504"/>
      <c r="F80" s="513"/>
      <c r="G80" s="558"/>
      <c r="H80" s="558"/>
      <c r="I80" s="513"/>
      <c r="J80" s="555"/>
      <c r="K80" s="513"/>
      <c r="L80" s="555"/>
      <c r="M80" s="555"/>
      <c r="N80" s="558"/>
      <c r="O80" s="355" t="s">
        <v>12</v>
      </c>
      <c r="P80" s="494"/>
      <c r="Q80" s="474"/>
      <c r="R80" s="243" t="s">
        <v>14</v>
      </c>
    </row>
    <row r="81" spans="1:18" ht="15">
      <c r="A81" s="241"/>
      <c r="B81" s="242"/>
      <c r="C81" s="242"/>
      <c r="D81" s="504"/>
      <c r="E81" s="504"/>
      <c r="F81" s="513"/>
      <c r="G81" s="558"/>
      <c r="H81" s="558"/>
      <c r="I81" s="513"/>
      <c r="J81" s="555"/>
      <c r="K81" s="513"/>
      <c r="L81" s="555"/>
      <c r="M81" s="555"/>
      <c r="N81" s="558"/>
      <c r="O81" s="355" t="s">
        <v>115</v>
      </c>
      <c r="P81" s="494"/>
      <c r="Q81" s="474"/>
      <c r="R81" s="243" t="s">
        <v>115</v>
      </c>
    </row>
    <row r="82" spans="1:18" ht="87.75" customHeight="1">
      <c r="A82" s="246"/>
      <c r="B82" s="248"/>
      <c r="C82" s="248"/>
      <c r="D82" s="504"/>
      <c r="E82" s="504"/>
      <c r="F82" s="514"/>
      <c r="G82" s="559"/>
      <c r="H82" s="559"/>
      <c r="I82" s="514"/>
      <c r="J82" s="556"/>
      <c r="K82" s="514"/>
      <c r="L82" s="556"/>
      <c r="M82" s="556"/>
      <c r="N82" s="559"/>
      <c r="O82" s="247"/>
      <c r="P82" s="495"/>
      <c r="Q82" s="475"/>
      <c r="R82" s="251"/>
    </row>
    <row r="83" spans="1:25" ht="15.75">
      <c r="A83" s="266">
        <v>1</v>
      </c>
      <c r="B83" s="216" t="s">
        <v>20</v>
      </c>
      <c r="C83" s="217">
        <v>1</v>
      </c>
      <c r="D83" s="220">
        <v>4464</v>
      </c>
      <c r="E83" s="221">
        <v>16</v>
      </c>
      <c r="F83" s="222">
        <f>D83*30%</f>
        <v>1339.2</v>
      </c>
      <c r="G83" s="222"/>
      <c r="H83" s="222">
        <f>D83*50%</f>
        <v>2232</v>
      </c>
      <c r="I83" s="375">
        <f>D83*C83*20%</f>
        <v>892.8000000000001</v>
      </c>
      <c r="J83" s="222"/>
      <c r="K83" s="222"/>
      <c r="L83" s="222"/>
      <c r="M83" s="222"/>
      <c r="N83" s="222"/>
      <c r="O83" s="223">
        <f>D83*C83+F83+H83+I83+J83+K83+L83+M83+N83+G83</f>
        <v>8928</v>
      </c>
      <c r="P83" s="223"/>
      <c r="Q83" s="223">
        <f>O83+P83</f>
        <v>8928</v>
      </c>
      <c r="R83" s="223">
        <f>O83*12</f>
        <v>107136</v>
      </c>
      <c r="Y83" s="16">
        <f>D83+D84+D85+D86+D87</f>
        <v>19120.8</v>
      </c>
    </row>
    <row r="84" spans="1:18" ht="126">
      <c r="A84" s="266">
        <v>2</v>
      </c>
      <c r="B84" s="218" t="s">
        <v>199</v>
      </c>
      <c r="C84" s="396">
        <v>1</v>
      </c>
      <c r="D84" s="445">
        <f>D83*95%</f>
        <v>4240.8</v>
      </c>
      <c r="E84" s="398" t="s">
        <v>200</v>
      </c>
      <c r="F84" s="397">
        <f>D84*30%</f>
        <v>1272.24</v>
      </c>
      <c r="G84" s="399"/>
      <c r="H84" s="222"/>
      <c r="I84" s="375">
        <f>D84*C84*5%</f>
        <v>212.04000000000002</v>
      </c>
      <c r="J84" s="222"/>
      <c r="K84" s="399"/>
      <c r="L84" s="399"/>
      <c r="M84" s="399"/>
      <c r="N84" s="399"/>
      <c r="O84" s="223">
        <f>D84*C84+F84+H84+I84+J84+K84+L84+M84+N84+G84</f>
        <v>5725.08</v>
      </c>
      <c r="P84" s="415"/>
      <c r="Q84" s="223">
        <f aca="true" t="shared" si="5" ref="Q84:Q99">O84+P84</f>
        <v>5725.08</v>
      </c>
      <c r="R84" s="223">
        <f>O84*12</f>
        <v>68700.95999999999</v>
      </c>
    </row>
    <row r="85" spans="1:18" ht="15.75">
      <c r="A85" s="174">
        <v>3</v>
      </c>
      <c r="B85" s="161" t="s">
        <v>37</v>
      </c>
      <c r="C85" s="204">
        <v>1</v>
      </c>
      <c r="D85" s="220">
        <v>3392</v>
      </c>
      <c r="E85" s="221">
        <v>12</v>
      </c>
      <c r="F85" s="222">
        <f>D85*20%</f>
        <v>678.4000000000001</v>
      </c>
      <c r="G85" s="222"/>
      <c r="H85" s="222"/>
      <c r="I85" s="375">
        <f>D85*C85*5%</f>
        <v>169.60000000000002</v>
      </c>
      <c r="J85" s="222"/>
      <c r="K85" s="170"/>
      <c r="L85" s="170"/>
      <c r="M85" s="170"/>
      <c r="N85" s="170"/>
      <c r="O85" s="223">
        <f aca="true" t="shared" si="6" ref="O85:O99">D85*C85+F85+H85+I85+J85+K85+L85+M85+N85+G85</f>
        <v>4240</v>
      </c>
      <c r="P85" s="415"/>
      <c r="Q85" s="223">
        <f t="shared" si="5"/>
        <v>4240</v>
      </c>
      <c r="R85" s="223">
        <f aca="true" t="shared" si="7" ref="R85:R100">O85*12</f>
        <v>50880</v>
      </c>
    </row>
    <row r="86" spans="1:18" ht="31.5">
      <c r="A86" s="174">
        <v>4</v>
      </c>
      <c r="B86" s="374" t="s">
        <v>202</v>
      </c>
      <c r="C86" s="204">
        <v>1</v>
      </c>
      <c r="D86" s="220">
        <v>3632</v>
      </c>
      <c r="E86" s="221">
        <v>13</v>
      </c>
      <c r="F86" s="222">
        <f>D86*30%</f>
        <v>1089.6</v>
      </c>
      <c r="G86" s="222"/>
      <c r="H86" s="400"/>
      <c r="I86" s="375">
        <f>D86*C86*5%</f>
        <v>181.60000000000002</v>
      </c>
      <c r="J86" s="222"/>
      <c r="K86" s="170"/>
      <c r="L86" s="170"/>
      <c r="M86" s="170"/>
      <c r="N86" s="170"/>
      <c r="O86" s="223">
        <f t="shared" si="6"/>
        <v>4903.200000000001</v>
      </c>
      <c r="P86" s="415"/>
      <c r="Q86" s="223">
        <f t="shared" si="5"/>
        <v>4903.200000000001</v>
      </c>
      <c r="R86" s="223">
        <f t="shared" si="7"/>
        <v>58838.40000000001</v>
      </c>
    </row>
    <row r="87" spans="1:18" ht="15.75">
      <c r="A87" s="174">
        <v>5</v>
      </c>
      <c r="B87" s="161" t="s">
        <v>101</v>
      </c>
      <c r="C87" s="204">
        <v>1</v>
      </c>
      <c r="D87" s="220">
        <v>3392</v>
      </c>
      <c r="E87" s="221">
        <v>12</v>
      </c>
      <c r="F87" s="222">
        <f>D87*20%</f>
        <v>678.4000000000001</v>
      </c>
      <c r="G87" s="222"/>
      <c r="H87" s="400"/>
      <c r="I87" s="375">
        <f>D87*C87*5%</f>
        <v>169.60000000000002</v>
      </c>
      <c r="J87" s="222"/>
      <c r="K87" s="170"/>
      <c r="L87" s="170"/>
      <c r="M87" s="170"/>
      <c r="N87" s="170"/>
      <c r="O87" s="223">
        <f t="shared" si="6"/>
        <v>4240</v>
      </c>
      <c r="P87" s="415"/>
      <c r="Q87" s="223">
        <f t="shared" si="5"/>
        <v>4240</v>
      </c>
      <c r="R87" s="223">
        <f t="shared" si="7"/>
        <v>50880</v>
      </c>
    </row>
    <row r="88" spans="1:25" ht="67.5" customHeight="1">
      <c r="A88" s="174">
        <v>6</v>
      </c>
      <c r="B88" s="224" t="s">
        <v>222</v>
      </c>
      <c r="C88" s="204">
        <v>1</v>
      </c>
      <c r="D88" s="440">
        <f>D83*85%</f>
        <v>3794.4</v>
      </c>
      <c r="E88" s="228" t="s">
        <v>223</v>
      </c>
      <c r="F88" s="170"/>
      <c r="G88" s="170"/>
      <c r="H88" s="170"/>
      <c r="I88" s="283"/>
      <c r="J88" s="222"/>
      <c r="K88" s="170"/>
      <c r="L88" s="170"/>
      <c r="M88" s="170"/>
      <c r="N88" s="170"/>
      <c r="O88" s="223">
        <f t="shared" si="6"/>
        <v>3794.4</v>
      </c>
      <c r="P88" s="415"/>
      <c r="Q88" s="223">
        <f t="shared" si="5"/>
        <v>3794.4</v>
      </c>
      <c r="R88" s="223">
        <f t="shared" si="7"/>
        <v>45532.8</v>
      </c>
      <c r="S88" s="16"/>
      <c r="Y88" s="3">
        <f>D88+D90+D91*C91+D92*C92+D93+D94*C94+D95*C95+D96*C96+D97*C97+D98*C98+D99</f>
        <v>40114.4</v>
      </c>
    </row>
    <row r="89" spans="1:19" ht="47.25" hidden="1">
      <c r="A89" s="174">
        <v>8</v>
      </c>
      <c r="B89" s="224" t="s">
        <v>236</v>
      </c>
      <c r="C89" s="204"/>
      <c r="D89" s="219"/>
      <c r="E89" s="228"/>
      <c r="F89" s="170"/>
      <c r="G89" s="170"/>
      <c r="H89" s="170"/>
      <c r="I89" s="283"/>
      <c r="J89" s="222"/>
      <c r="K89" s="170"/>
      <c r="L89" s="170"/>
      <c r="M89" s="170"/>
      <c r="N89" s="170"/>
      <c r="O89" s="223">
        <f t="shared" si="6"/>
        <v>0</v>
      </c>
      <c r="P89" s="415">
        <f aca="true" t="shared" si="8" ref="P89:P99">3200*C89-(O89-N89-L89)</f>
        <v>0</v>
      </c>
      <c r="Q89" s="223">
        <f t="shared" si="5"/>
        <v>0</v>
      </c>
      <c r="R89" s="223">
        <f t="shared" si="7"/>
        <v>0</v>
      </c>
      <c r="S89" s="16"/>
    </row>
    <row r="90" spans="1:19" ht="15.75">
      <c r="A90" s="174">
        <v>9</v>
      </c>
      <c r="B90" s="161" t="s">
        <v>204</v>
      </c>
      <c r="C90" s="204">
        <v>1</v>
      </c>
      <c r="D90" s="220">
        <v>2320</v>
      </c>
      <c r="E90" s="221">
        <v>6</v>
      </c>
      <c r="F90" s="170"/>
      <c r="G90" s="170"/>
      <c r="H90" s="170"/>
      <c r="I90" s="283"/>
      <c r="J90" s="170"/>
      <c r="K90" s="170"/>
      <c r="L90" s="170"/>
      <c r="M90" s="170"/>
      <c r="N90" s="170"/>
      <c r="O90" s="223">
        <f>D90*C90+F90+H90+I90+J90+K90+L90+M90+N90+G90</f>
        <v>2320</v>
      </c>
      <c r="P90" s="415">
        <f t="shared" si="8"/>
        <v>880</v>
      </c>
      <c r="Q90" s="223">
        <f t="shared" si="5"/>
        <v>3200</v>
      </c>
      <c r="R90" s="223">
        <f t="shared" si="7"/>
        <v>27840</v>
      </c>
      <c r="S90" s="16"/>
    </row>
    <row r="91" spans="1:18" ht="15.75">
      <c r="A91" s="174">
        <v>10</v>
      </c>
      <c r="B91" s="161" t="s">
        <v>23</v>
      </c>
      <c r="C91" s="204">
        <v>0.5</v>
      </c>
      <c r="D91" s="220">
        <v>2176</v>
      </c>
      <c r="E91" s="221">
        <v>5</v>
      </c>
      <c r="F91" s="170"/>
      <c r="G91" s="170"/>
      <c r="H91" s="170"/>
      <c r="I91" s="283"/>
      <c r="J91" s="170"/>
      <c r="K91" s="170"/>
      <c r="L91" s="170"/>
      <c r="M91" s="170"/>
      <c r="N91" s="170"/>
      <c r="O91" s="223">
        <f t="shared" si="6"/>
        <v>1088</v>
      </c>
      <c r="P91" s="415">
        <f t="shared" si="8"/>
        <v>512</v>
      </c>
      <c r="Q91" s="223">
        <f t="shared" si="5"/>
        <v>1600</v>
      </c>
      <c r="R91" s="223">
        <f t="shared" si="7"/>
        <v>13056</v>
      </c>
    </row>
    <row r="92" spans="1:25" ht="15.75">
      <c r="A92" s="174">
        <v>11</v>
      </c>
      <c r="B92" s="161" t="s">
        <v>38</v>
      </c>
      <c r="C92" s="204">
        <v>0.5</v>
      </c>
      <c r="D92" s="220">
        <v>2320</v>
      </c>
      <c r="E92" s="221">
        <v>6</v>
      </c>
      <c r="F92" s="170"/>
      <c r="G92" s="170"/>
      <c r="H92" s="170"/>
      <c r="I92" s="283"/>
      <c r="J92" s="170"/>
      <c r="K92" s="170"/>
      <c r="L92" s="170"/>
      <c r="M92" s="170"/>
      <c r="N92" s="170"/>
      <c r="O92" s="223">
        <f t="shared" si="6"/>
        <v>1160</v>
      </c>
      <c r="P92" s="415">
        <f t="shared" si="8"/>
        <v>440</v>
      </c>
      <c r="Q92" s="223">
        <f t="shared" si="5"/>
        <v>1600</v>
      </c>
      <c r="R92" s="223">
        <f t="shared" si="7"/>
        <v>13920</v>
      </c>
      <c r="Y92" s="16"/>
    </row>
    <row r="93" spans="1:25" ht="15.75">
      <c r="A93" s="174">
        <v>12</v>
      </c>
      <c r="B93" s="161" t="s">
        <v>39</v>
      </c>
      <c r="C93" s="204">
        <v>1</v>
      </c>
      <c r="D93" s="220">
        <v>1744</v>
      </c>
      <c r="E93" s="221">
        <v>2</v>
      </c>
      <c r="F93" s="170"/>
      <c r="G93" s="170"/>
      <c r="H93" s="170"/>
      <c r="I93" s="283"/>
      <c r="J93" s="170"/>
      <c r="K93" s="170"/>
      <c r="L93" s="170"/>
      <c r="M93" s="170"/>
      <c r="N93" s="170"/>
      <c r="O93" s="223">
        <f t="shared" si="6"/>
        <v>1744</v>
      </c>
      <c r="P93" s="446">
        <f t="shared" si="8"/>
        <v>1456</v>
      </c>
      <c r="Q93" s="223">
        <f t="shared" si="5"/>
        <v>3200</v>
      </c>
      <c r="R93" s="223">
        <f t="shared" si="7"/>
        <v>20928</v>
      </c>
      <c r="T93" s="44" t="s">
        <v>187</v>
      </c>
      <c r="U93" s="45"/>
      <c r="V93" s="46">
        <f>O88+O91+O92+O93+O94+O95+O96+O97+O98</f>
        <v>41600.8</v>
      </c>
      <c r="Y93" s="16"/>
    </row>
    <row r="94" spans="1:22" ht="63">
      <c r="A94" s="174">
        <v>13</v>
      </c>
      <c r="B94" s="374" t="s">
        <v>182</v>
      </c>
      <c r="C94" s="204">
        <v>2</v>
      </c>
      <c r="D94" s="220">
        <v>2032</v>
      </c>
      <c r="E94" s="221">
        <v>4</v>
      </c>
      <c r="F94" s="170"/>
      <c r="G94" s="170"/>
      <c r="H94" s="170"/>
      <c r="I94" s="283"/>
      <c r="J94" s="170"/>
      <c r="K94" s="170"/>
      <c r="L94" s="170"/>
      <c r="M94" s="170"/>
      <c r="N94" s="170"/>
      <c r="O94" s="223">
        <f>D94*C94+F94+H94+I94+J94+K94+L94+M94+N94+G94</f>
        <v>4064</v>
      </c>
      <c r="P94" s="446">
        <f t="shared" si="8"/>
        <v>2336</v>
      </c>
      <c r="Q94" s="223">
        <f t="shared" si="5"/>
        <v>6400</v>
      </c>
      <c r="R94" s="223">
        <f t="shared" si="7"/>
        <v>48768</v>
      </c>
      <c r="T94" s="3" t="s">
        <v>104</v>
      </c>
      <c r="U94" s="3">
        <f>C83+C85+C86+C87</f>
        <v>4</v>
      </c>
      <c r="V94" s="47">
        <f>D83+D85+D86+D87</f>
        <v>14880</v>
      </c>
    </row>
    <row r="95" spans="1:22" ht="15.75">
      <c r="A95" s="174">
        <v>14</v>
      </c>
      <c r="B95" s="161" t="s">
        <v>27</v>
      </c>
      <c r="C95" s="204">
        <v>6</v>
      </c>
      <c r="D95" s="220">
        <v>1744</v>
      </c>
      <c r="E95" s="221">
        <v>2</v>
      </c>
      <c r="F95" s="170"/>
      <c r="G95" s="170"/>
      <c r="H95" s="170"/>
      <c r="I95" s="283"/>
      <c r="J95" s="170"/>
      <c r="K95" s="170"/>
      <c r="L95" s="170"/>
      <c r="M95" s="170"/>
      <c r="N95" s="168">
        <f>D95*40%*C95</f>
        <v>4185.6</v>
      </c>
      <c r="O95" s="223">
        <f>D95*C95+F95+H95+I95+J95+K95+L95+M95+N95+G95</f>
        <v>14649.6</v>
      </c>
      <c r="P95" s="446">
        <f t="shared" si="8"/>
        <v>8736</v>
      </c>
      <c r="Q95" s="223">
        <f t="shared" si="5"/>
        <v>23385.6</v>
      </c>
      <c r="R95" s="223">
        <f t="shared" si="7"/>
        <v>175795.2</v>
      </c>
      <c r="T95" s="3" t="s">
        <v>62</v>
      </c>
      <c r="U95" s="3">
        <f>C88+C91</f>
        <v>1.5</v>
      </c>
      <c r="V95" s="3">
        <f>D88+D91*C91+J91</f>
        <v>4882.4</v>
      </c>
    </row>
    <row r="96" spans="1:22" ht="31.5">
      <c r="A96" s="174">
        <v>15</v>
      </c>
      <c r="B96" s="374" t="s">
        <v>185</v>
      </c>
      <c r="C96" s="204">
        <v>7</v>
      </c>
      <c r="D96" s="220">
        <v>1744</v>
      </c>
      <c r="E96" s="221">
        <v>2</v>
      </c>
      <c r="F96" s="170"/>
      <c r="G96" s="170"/>
      <c r="H96" s="170"/>
      <c r="I96" s="283"/>
      <c r="J96" s="170"/>
      <c r="K96" s="170"/>
      <c r="L96" s="283">
        <f>SUM(D96*7*0.1)</f>
        <v>1220.8</v>
      </c>
      <c r="M96" s="170"/>
      <c r="N96" s="168"/>
      <c r="O96" s="223">
        <f>D96*C96+F96+H96+I96+J96+K96+L96+M96+N96+G96</f>
        <v>13428.8</v>
      </c>
      <c r="P96" s="446">
        <f t="shared" si="8"/>
        <v>10192</v>
      </c>
      <c r="Q96" s="223">
        <f t="shared" si="5"/>
        <v>23620.8</v>
      </c>
      <c r="R96" s="223">
        <f t="shared" si="7"/>
        <v>161145.59999999998</v>
      </c>
      <c r="T96" s="3" t="s">
        <v>82</v>
      </c>
      <c r="U96" s="3">
        <f>C92+C93+C94+C95+C96+C97+C98</f>
        <v>17.5</v>
      </c>
      <c r="V96" s="3">
        <f>D92*C92+D93+D94+D95*C95+D96*C96+D97*C97+D98*C98+J98+J97+J96+J95+J94+J93+J92</f>
        <v>29280</v>
      </c>
    </row>
    <row r="97" spans="1:21" ht="15.75">
      <c r="A97" s="174">
        <v>16</v>
      </c>
      <c r="B97" s="161" t="s">
        <v>42</v>
      </c>
      <c r="C97" s="204">
        <v>0.5</v>
      </c>
      <c r="D97" s="220">
        <v>1600</v>
      </c>
      <c r="E97" s="404">
        <v>1</v>
      </c>
      <c r="F97" s="170"/>
      <c r="G97" s="170"/>
      <c r="H97" s="170"/>
      <c r="I97" s="283"/>
      <c r="J97" s="170"/>
      <c r="K97" s="170"/>
      <c r="L97" s="283"/>
      <c r="M97" s="170"/>
      <c r="N97" s="168"/>
      <c r="O97" s="223">
        <f t="shared" si="6"/>
        <v>800</v>
      </c>
      <c r="P97" s="446">
        <f t="shared" si="8"/>
        <v>800</v>
      </c>
      <c r="Q97" s="223">
        <f t="shared" si="5"/>
        <v>1600</v>
      </c>
      <c r="R97" s="223">
        <f t="shared" si="7"/>
        <v>9600</v>
      </c>
      <c r="T97" s="3" t="s">
        <v>64</v>
      </c>
      <c r="U97" s="3">
        <f>SUM(U94:U96)</f>
        <v>23</v>
      </c>
    </row>
    <row r="98" spans="1:18" ht="15.75">
      <c r="A98" s="174">
        <v>17</v>
      </c>
      <c r="B98" s="161" t="s">
        <v>60</v>
      </c>
      <c r="C98" s="204">
        <v>0.5</v>
      </c>
      <c r="D98" s="220">
        <v>1744</v>
      </c>
      <c r="E98" s="221">
        <v>2</v>
      </c>
      <c r="F98" s="170"/>
      <c r="G98" s="170"/>
      <c r="H98" s="170"/>
      <c r="I98" s="283"/>
      <c r="J98" s="170"/>
      <c r="K98" s="170"/>
      <c r="L98" s="283"/>
      <c r="M98" s="170"/>
      <c r="N98" s="168"/>
      <c r="O98" s="223">
        <f t="shared" si="6"/>
        <v>872</v>
      </c>
      <c r="P98" s="446">
        <f t="shared" si="8"/>
        <v>728</v>
      </c>
      <c r="Q98" s="223">
        <f t="shared" si="5"/>
        <v>1600</v>
      </c>
      <c r="R98" s="223">
        <f t="shared" si="7"/>
        <v>10464</v>
      </c>
    </row>
    <row r="99" spans="1:18" ht="15.75">
      <c r="A99" s="162">
        <v>18</v>
      </c>
      <c r="B99" s="161" t="s">
        <v>30</v>
      </c>
      <c r="C99" s="204">
        <v>1</v>
      </c>
      <c r="D99" s="230">
        <v>1600</v>
      </c>
      <c r="E99" s="404">
        <v>1</v>
      </c>
      <c r="F99" s="170"/>
      <c r="G99" s="170"/>
      <c r="H99" s="170"/>
      <c r="I99" s="283"/>
      <c r="J99" s="170"/>
      <c r="K99" s="170"/>
      <c r="L99" s="283"/>
      <c r="M99" s="170"/>
      <c r="N99" s="168"/>
      <c r="O99" s="216">
        <f t="shared" si="6"/>
        <v>1600</v>
      </c>
      <c r="P99" s="446">
        <f t="shared" si="8"/>
        <v>1600</v>
      </c>
      <c r="Q99" s="223">
        <f t="shared" si="5"/>
        <v>3200</v>
      </c>
      <c r="R99" s="223">
        <f t="shared" si="7"/>
        <v>19200</v>
      </c>
    </row>
    <row r="100" spans="1:24" ht="30.75" customHeight="1">
      <c r="A100" s="162"/>
      <c r="B100" s="224"/>
      <c r="C100" s="170"/>
      <c r="D100" s="230"/>
      <c r="E100" s="231"/>
      <c r="F100" s="170"/>
      <c r="G100" s="170"/>
      <c r="H100" s="170"/>
      <c r="I100" s="283"/>
      <c r="J100" s="170"/>
      <c r="K100" s="170"/>
      <c r="L100" s="283"/>
      <c r="M100" s="170"/>
      <c r="N100" s="168"/>
      <c r="O100" s="170"/>
      <c r="P100" s="447"/>
      <c r="Q100" s="170"/>
      <c r="R100" s="170">
        <f t="shared" si="7"/>
        <v>0</v>
      </c>
      <c r="X100" s="172" t="s">
        <v>287</v>
      </c>
    </row>
    <row r="101" spans="1:24" ht="15.75">
      <c r="A101" s="162"/>
      <c r="B101" s="161" t="s">
        <v>15</v>
      </c>
      <c r="C101" s="170">
        <f>SUM(C83:C100)</f>
        <v>26</v>
      </c>
      <c r="D101" s="230">
        <f>D83+D85+D86+D87+D88+D91*C91+D92*C92+D93+D94*C94+D95*C95+D96*C96+D97*C97+D98*C98+D84*C84+D90*C90+D99*C99+D89</f>
        <v>59235.200000000004</v>
      </c>
      <c r="E101" s="230"/>
      <c r="F101" s="170">
        <f>SUM(F83:F100)</f>
        <v>5057.84</v>
      </c>
      <c r="G101" s="170">
        <f>SUM(G83:G100)</f>
        <v>0</v>
      </c>
      <c r="H101" s="170">
        <f aca="true" t="shared" si="9" ref="H101:N101">SUM(H83:H100)</f>
        <v>2232</v>
      </c>
      <c r="I101" s="283">
        <f t="shared" si="9"/>
        <v>1625.6399999999999</v>
      </c>
      <c r="J101" s="170">
        <f>SUM(J83:J100)</f>
        <v>0</v>
      </c>
      <c r="K101" s="170">
        <f>SUM(K83:K100)</f>
        <v>0</v>
      </c>
      <c r="L101" s="283">
        <f t="shared" si="9"/>
        <v>1220.8</v>
      </c>
      <c r="M101" s="170">
        <f t="shared" si="9"/>
        <v>0</v>
      </c>
      <c r="N101" s="168">
        <f t="shared" si="9"/>
        <v>4185.6</v>
      </c>
      <c r="O101" s="170">
        <f>SUM(O83:O100)</f>
        <v>73557.08</v>
      </c>
      <c r="P101" s="283">
        <f>SUM(P83:P100)</f>
        <v>27680</v>
      </c>
      <c r="Q101" s="283">
        <f>SUM(Q83:Q100)</f>
        <v>101237.08</v>
      </c>
      <c r="R101" s="170">
        <f>SUM(R83:R100)</f>
        <v>882684.96</v>
      </c>
      <c r="X101" s="172">
        <v>2701.92</v>
      </c>
    </row>
    <row r="102" spans="1:19" ht="15">
      <c r="A102" s="176"/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433"/>
      <c r="O102" s="401"/>
      <c r="P102" s="401"/>
      <c r="Q102" s="401"/>
      <c r="R102" s="401"/>
      <c r="S102" s="7"/>
    </row>
    <row r="103" spans="1:18" ht="61.5" customHeight="1">
      <c r="A103" s="172"/>
      <c r="B103" s="285"/>
      <c r="C103" s="402"/>
      <c r="D103" s="287"/>
      <c r="E103" s="288"/>
      <c r="F103" s="287"/>
      <c r="G103" s="287"/>
      <c r="H103" s="287"/>
      <c r="I103" s="287"/>
      <c r="J103" s="287"/>
      <c r="K103" s="287"/>
      <c r="L103" s="287"/>
      <c r="M103" s="287"/>
      <c r="N103" s="287"/>
      <c r="O103" s="289"/>
      <c r="P103" s="289"/>
      <c r="Q103" s="289"/>
      <c r="R103" s="172"/>
    </row>
    <row r="104" spans="1:19" ht="12.75" customHeight="1" hidden="1">
      <c r="A104" s="176"/>
      <c r="B104" s="176"/>
      <c r="C104" s="176"/>
      <c r="D104" s="176">
        <f>D88+D91*C91+D92*C92+D93+D94+D95*C95+D96*C96+D97*C97+D98*C98</f>
        <v>34162.4</v>
      </c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7"/>
    </row>
    <row r="105" spans="1:19" ht="15">
      <c r="A105" s="176"/>
      <c r="B105" s="176"/>
      <c r="C105" s="176"/>
      <c r="D105" s="176"/>
      <c r="E105" s="176"/>
      <c r="F105" s="403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7"/>
    </row>
    <row r="106" spans="1:19" ht="15">
      <c r="A106" s="176"/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7"/>
    </row>
    <row r="107" spans="1:22" ht="37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18" ht="14.25" customHeight="1">
      <c r="A108" s="172"/>
      <c r="B108" s="172"/>
      <c r="C108" s="200" t="s">
        <v>371</v>
      </c>
      <c r="D108" s="200"/>
      <c r="E108" s="200"/>
      <c r="F108" s="200"/>
      <c r="G108" s="200"/>
      <c r="H108" s="200"/>
      <c r="I108" s="200"/>
      <c r="J108" s="200"/>
      <c r="K108" s="198" t="s">
        <v>372</v>
      </c>
      <c r="L108" s="198"/>
      <c r="M108" s="198"/>
      <c r="N108" s="198"/>
      <c r="O108" s="172"/>
      <c r="P108" s="172"/>
      <c r="Q108" s="172"/>
      <c r="R108" s="172"/>
    </row>
    <row r="109" spans="1:18" ht="18.75">
      <c r="A109" s="198"/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198"/>
      <c r="O109" s="198"/>
      <c r="P109" s="198"/>
      <c r="Q109" s="198"/>
      <c r="R109" s="198"/>
    </row>
    <row r="110" spans="1:18" ht="15.75">
      <c r="A110" s="172"/>
      <c r="B110" s="172"/>
      <c r="C110" s="173"/>
      <c r="D110" s="172"/>
      <c r="E110" s="172"/>
      <c r="F110" s="172"/>
      <c r="G110" s="172"/>
      <c r="H110" s="172"/>
      <c r="I110" s="172"/>
      <c r="J110" s="173"/>
      <c r="K110" s="172"/>
      <c r="L110" s="172"/>
      <c r="M110" s="172"/>
      <c r="N110" s="172"/>
      <c r="O110" s="172"/>
      <c r="P110" s="172"/>
      <c r="Q110" s="172"/>
      <c r="R110" s="172"/>
    </row>
    <row r="111" spans="1:18" ht="15">
      <c r="A111" s="469"/>
      <c r="B111" s="469"/>
      <c r="C111" s="469"/>
      <c r="D111" s="469"/>
      <c r="E111" s="469"/>
      <c r="F111" s="469"/>
      <c r="G111" s="469"/>
      <c r="H111" s="469"/>
      <c r="I111" s="469"/>
      <c r="J111" s="469"/>
      <c r="K111" s="469"/>
      <c r="L111" s="469"/>
      <c r="M111" s="469"/>
      <c r="N111" s="469"/>
      <c r="O111" s="469"/>
      <c r="P111" s="469"/>
      <c r="Q111" s="469"/>
      <c r="R111" s="469"/>
    </row>
    <row r="112" spans="1:18" ht="15">
      <c r="A112" s="172"/>
      <c r="B112" s="418" t="s">
        <v>368</v>
      </c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</row>
    <row r="113" ht="15">
      <c r="B113" s="194">
        <v>42041</v>
      </c>
    </row>
    <row r="114" spans="1:18" ht="15">
      <c r="A114" s="172"/>
      <c r="B114" s="290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</row>
    <row r="115" ht="15">
      <c r="E115" s="67"/>
    </row>
    <row r="116" ht="15">
      <c r="E116" s="67"/>
    </row>
    <row r="117" spans="1:19" ht="15" hidden="1">
      <c r="A117" s="7"/>
      <c r="S117" s="7"/>
    </row>
    <row r="118" spans="1:19" ht="15" hidden="1">
      <c r="A118" s="7"/>
      <c r="S118" s="7"/>
    </row>
    <row r="119" spans="1:19" ht="15" hidden="1">
      <c r="A119" s="7"/>
      <c r="S119" s="7"/>
    </row>
    <row r="120" spans="1:19" ht="15" hidden="1">
      <c r="A120" s="7"/>
      <c r="S120" s="7"/>
    </row>
    <row r="121" spans="1:19" ht="15" hidden="1">
      <c r="A121" s="7"/>
      <c r="S121" s="7"/>
    </row>
    <row r="122" spans="1:19" ht="15" hidden="1">
      <c r="A122" s="7"/>
      <c r="S122" s="7"/>
    </row>
    <row r="123" spans="1:19" ht="15" hidden="1">
      <c r="A123" s="7"/>
      <c r="S123" s="7"/>
    </row>
    <row r="124" spans="1:19" ht="15" hidden="1">
      <c r="A124" s="7"/>
      <c r="S124" s="7"/>
    </row>
    <row r="126" spans="1:18" ht="20.25">
      <c r="A126" s="172"/>
      <c r="B126" s="172"/>
      <c r="C126" s="172"/>
      <c r="D126" s="172"/>
      <c r="E126" s="172"/>
      <c r="F126" s="172"/>
      <c r="G126" s="172"/>
      <c r="H126" s="196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</row>
    <row r="127" spans="1:18" ht="15.75">
      <c r="A127" s="173"/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</row>
    <row r="128" spans="1:18" ht="15.75">
      <c r="A128" s="173"/>
      <c r="B128" s="173"/>
      <c r="C128" s="173"/>
      <c r="D128" s="173"/>
      <c r="E128" s="173"/>
      <c r="F128" s="173"/>
      <c r="G128" s="173"/>
      <c r="H128" s="173"/>
      <c r="I128" s="173"/>
      <c r="J128" s="173"/>
      <c r="K128" s="487" t="s">
        <v>313</v>
      </c>
      <c r="L128" s="487"/>
      <c r="M128" s="487"/>
      <c r="N128" s="487"/>
      <c r="O128" s="487"/>
      <c r="P128" s="358"/>
      <c r="Q128" s="358"/>
      <c r="R128" s="173"/>
    </row>
    <row r="129" spans="1:18" ht="15.75">
      <c r="A129" s="173"/>
      <c r="B129" s="173"/>
      <c r="C129" s="173"/>
      <c r="D129" s="173"/>
      <c r="E129" s="173"/>
      <c r="F129" s="173"/>
      <c r="G129" s="173"/>
      <c r="H129" s="173"/>
      <c r="I129" s="173"/>
      <c r="J129" s="173"/>
      <c r="K129" s="358"/>
      <c r="L129" s="358"/>
      <c r="M129" s="358"/>
      <c r="N129" s="358"/>
      <c r="O129" s="358"/>
      <c r="P129" s="358"/>
      <c r="Q129" s="358"/>
      <c r="R129" s="173"/>
    </row>
    <row r="130" spans="1:19" ht="15.75">
      <c r="A130" s="173"/>
      <c r="B130" s="173"/>
      <c r="C130" s="173"/>
      <c r="D130" s="173"/>
      <c r="E130" s="173"/>
      <c r="F130" s="173"/>
      <c r="G130" s="173"/>
      <c r="H130" s="173"/>
      <c r="I130" s="173"/>
      <c r="J130" s="173"/>
      <c r="K130" s="200" t="s">
        <v>359</v>
      </c>
      <c r="L130" s="200"/>
      <c r="M130" s="200"/>
      <c r="N130" s="200"/>
      <c r="O130" s="200"/>
      <c r="P130" s="200"/>
      <c r="Q130" s="200"/>
      <c r="R130" s="200"/>
      <c r="S130" s="2"/>
    </row>
    <row r="131" spans="1:23" ht="15.75">
      <c r="A131" s="173"/>
      <c r="B131" s="512" t="s">
        <v>369</v>
      </c>
      <c r="C131" s="512"/>
      <c r="D131" s="512"/>
      <c r="E131" s="512"/>
      <c r="F131" s="512"/>
      <c r="G131" s="512"/>
      <c r="H131" s="512"/>
      <c r="I131" s="173"/>
      <c r="J131" s="173"/>
      <c r="K131" s="487" t="s">
        <v>357</v>
      </c>
      <c r="L131" s="487"/>
      <c r="M131" s="487"/>
      <c r="N131" s="487"/>
      <c r="O131" s="487"/>
      <c r="P131" s="358"/>
      <c r="Q131" s="358"/>
      <c r="R131" s="173"/>
      <c r="V131" s="4"/>
      <c r="W131" s="4"/>
    </row>
    <row r="132" spans="1:18" ht="18.75">
      <c r="A132" s="173"/>
      <c r="B132" s="501" t="s">
        <v>97</v>
      </c>
      <c r="C132" s="501"/>
      <c r="D132" s="501"/>
      <c r="E132" s="501"/>
      <c r="F132" s="501"/>
      <c r="G132" s="501"/>
      <c r="H132" s="501"/>
      <c r="I132" s="173"/>
      <c r="J132" s="173"/>
      <c r="K132" s="200" t="s">
        <v>396</v>
      </c>
      <c r="L132" s="200"/>
      <c r="M132" s="200"/>
      <c r="N132" s="200"/>
      <c r="O132" s="200"/>
      <c r="P132" s="200"/>
      <c r="Q132" s="200"/>
      <c r="R132" s="173"/>
    </row>
    <row r="133" spans="1:18" ht="15.75">
      <c r="A133" s="173"/>
      <c r="B133" s="505" t="s">
        <v>16</v>
      </c>
      <c r="C133" s="505"/>
      <c r="D133" s="505"/>
      <c r="E133" s="505"/>
      <c r="F133" s="505"/>
      <c r="G133" s="505"/>
      <c r="H133" s="505"/>
      <c r="I133" s="173"/>
      <c r="J133" s="173"/>
      <c r="K133" s="156"/>
      <c r="L133" s="156"/>
      <c r="M133" s="156"/>
      <c r="N133" s="156"/>
      <c r="O133" s="156"/>
      <c r="P133" s="156"/>
      <c r="Q133" s="156"/>
      <c r="R133" s="173"/>
    </row>
    <row r="134" spans="1:18" ht="15.75">
      <c r="A134" s="173"/>
      <c r="B134" s="173"/>
      <c r="C134" s="173"/>
      <c r="D134" s="173"/>
      <c r="E134" s="173"/>
      <c r="F134" s="173"/>
      <c r="G134" s="173"/>
      <c r="H134" s="173"/>
      <c r="I134" s="173"/>
      <c r="J134" s="173"/>
      <c r="K134" s="156"/>
      <c r="L134" s="156"/>
      <c r="M134" s="156"/>
      <c r="N134" s="156"/>
      <c r="O134" s="156"/>
      <c r="P134" s="156"/>
      <c r="Q134" s="156"/>
      <c r="R134" s="173"/>
    </row>
    <row r="135" spans="1:22" ht="15.75">
      <c r="A135" s="173"/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V135" s="3" t="s">
        <v>157</v>
      </c>
    </row>
    <row r="136" spans="1:18" ht="6.75" customHeight="1">
      <c r="A136" s="173"/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</row>
    <row r="137" spans="1:35" ht="12.75" customHeight="1">
      <c r="A137" s="502" t="s">
        <v>1</v>
      </c>
      <c r="B137" s="202" t="s">
        <v>98</v>
      </c>
      <c r="C137" s="443" t="s">
        <v>4</v>
      </c>
      <c r="D137" s="504" t="s">
        <v>321</v>
      </c>
      <c r="E137" s="504" t="s">
        <v>322</v>
      </c>
      <c r="F137" s="496" t="s">
        <v>7</v>
      </c>
      <c r="G137" s="497"/>
      <c r="H137" s="497"/>
      <c r="I137" s="497"/>
      <c r="J137" s="515" t="s">
        <v>8</v>
      </c>
      <c r="K137" s="515"/>
      <c r="L137" s="515"/>
      <c r="M137" s="390"/>
      <c r="N137" s="367"/>
      <c r="O137" s="202" t="s">
        <v>10</v>
      </c>
      <c r="P137" s="493" t="s">
        <v>339</v>
      </c>
      <c r="Q137" s="473" t="s">
        <v>340</v>
      </c>
      <c r="R137" s="203" t="s">
        <v>13</v>
      </c>
      <c r="U137" s="589"/>
      <c r="V137" s="42">
        <f>H159+G159+J159+M159+G222+J222+K222+F222</f>
        <v>23187.552000000003</v>
      </c>
      <c r="W137" s="7"/>
      <c r="X137" s="596"/>
      <c r="Y137" s="7"/>
      <c r="Z137" s="589"/>
      <c r="AA137" s="589"/>
      <c r="AB137" s="589"/>
      <c r="AC137" s="589"/>
      <c r="AD137" s="589"/>
      <c r="AE137" s="589"/>
      <c r="AF137" s="589"/>
      <c r="AG137" s="7"/>
      <c r="AH137" s="7"/>
      <c r="AI137" s="7"/>
    </row>
    <row r="138" spans="1:35" ht="18" customHeight="1">
      <c r="A138" s="503"/>
      <c r="B138" s="209" t="s">
        <v>3</v>
      </c>
      <c r="C138" s="444" t="s">
        <v>5</v>
      </c>
      <c r="D138" s="504"/>
      <c r="E138" s="504"/>
      <c r="F138" s="485" t="s">
        <v>18</v>
      </c>
      <c r="G138" s="489" t="s">
        <v>267</v>
      </c>
      <c r="H138" s="498" t="s">
        <v>383</v>
      </c>
      <c r="I138" s="549"/>
      <c r="J138" s="485" t="s">
        <v>40</v>
      </c>
      <c r="K138" s="479"/>
      <c r="L138" s="479"/>
      <c r="M138" s="490" t="s">
        <v>382</v>
      </c>
      <c r="N138" s="482"/>
      <c r="O138" s="209" t="s">
        <v>11</v>
      </c>
      <c r="P138" s="494"/>
      <c r="Q138" s="474"/>
      <c r="R138" s="210" t="s">
        <v>11</v>
      </c>
      <c r="U138" s="589"/>
      <c r="V138" s="7"/>
      <c r="W138" s="7"/>
      <c r="X138" s="596"/>
      <c r="Y138" s="596"/>
      <c r="Z138" s="595"/>
      <c r="AA138" s="596"/>
      <c r="AB138" s="596"/>
      <c r="AC138" s="595"/>
      <c r="AD138" s="595"/>
      <c r="AE138" s="595"/>
      <c r="AF138" s="595"/>
      <c r="AG138" s="7"/>
      <c r="AH138" s="7"/>
      <c r="AI138" s="7"/>
    </row>
    <row r="139" spans="1:35" ht="15.75">
      <c r="A139" s="503"/>
      <c r="B139" s="209"/>
      <c r="C139" s="444" t="s">
        <v>6</v>
      </c>
      <c r="D139" s="504"/>
      <c r="E139" s="504"/>
      <c r="F139" s="480"/>
      <c r="G139" s="483"/>
      <c r="H139" s="499"/>
      <c r="I139" s="550"/>
      <c r="J139" s="480"/>
      <c r="K139" s="480"/>
      <c r="L139" s="480"/>
      <c r="M139" s="490"/>
      <c r="N139" s="483"/>
      <c r="O139" s="363" t="s">
        <v>12</v>
      </c>
      <c r="P139" s="494"/>
      <c r="Q139" s="474"/>
      <c r="R139" s="210" t="s">
        <v>14</v>
      </c>
      <c r="U139" s="589"/>
      <c r="V139" s="7"/>
      <c r="W139" s="7"/>
      <c r="X139" s="596"/>
      <c r="Y139" s="596"/>
      <c r="Z139" s="596"/>
      <c r="AA139" s="596"/>
      <c r="AB139" s="596"/>
      <c r="AC139" s="596"/>
      <c r="AD139" s="596"/>
      <c r="AE139" s="596"/>
      <c r="AF139" s="596"/>
      <c r="AG139" s="50"/>
      <c r="AH139" s="7"/>
      <c r="AI139" s="7"/>
    </row>
    <row r="140" spans="1:35" ht="15.75" customHeight="1">
      <c r="A140" s="208"/>
      <c r="B140" s="209"/>
      <c r="C140" s="209"/>
      <c r="D140" s="504"/>
      <c r="E140" s="504"/>
      <c r="F140" s="480"/>
      <c r="G140" s="483"/>
      <c r="H140" s="499"/>
      <c r="I140" s="550"/>
      <c r="J140" s="480"/>
      <c r="K140" s="480"/>
      <c r="L140" s="480"/>
      <c r="M140" s="490"/>
      <c r="N140" s="483"/>
      <c r="O140" s="363" t="s">
        <v>115</v>
      </c>
      <c r="P140" s="494"/>
      <c r="Q140" s="474"/>
      <c r="R140" s="210" t="s">
        <v>115</v>
      </c>
      <c r="U140" s="49"/>
      <c r="V140" s="7"/>
      <c r="W140" s="7"/>
      <c r="X140" s="596"/>
      <c r="Y140" s="596"/>
      <c r="Z140" s="596"/>
      <c r="AA140" s="596"/>
      <c r="AB140" s="596"/>
      <c r="AC140" s="596"/>
      <c r="AD140" s="596"/>
      <c r="AE140" s="596"/>
      <c r="AF140" s="596"/>
      <c r="AG140" s="50"/>
      <c r="AH140" s="7"/>
      <c r="AI140" s="7"/>
    </row>
    <row r="141" spans="1:35" ht="63.75" customHeight="1">
      <c r="A141" s="212"/>
      <c r="B141" s="214"/>
      <c r="C141" s="214"/>
      <c r="D141" s="504"/>
      <c r="E141" s="504"/>
      <c r="F141" s="481"/>
      <c r="G141" s="484"/>
      <c r="H141" s="500"/>
      <c r="I141" s="550"/>
      <c r="J141" s="481"/>
      <c r="K141" s="481"/>
      <c r="L141" s="481"/>
      <c r="M141" s="491"/>
      <c r="N141" s="484"/>
      <c r="O141" s="213"/>
      <c r="P141" s="495"/>
      <c r="Q141" s="475"/>
      <c r="R141" s="216"/>
      <c r="U141" s="49"/>
      <c r="V141" s="7"/>
      <c r="W141" s="7"/>
      <c r="X141" s="596"/>
      <c r="Y141" s="596"/>
      <c r="Z141" s="596"/>
      <c r="AA141" s="596"/>
      <c r="AB141" s="596"/>
      <c r="AC141" s="596"/>
      <c r="AD141" s="596"/>
      <c r="AE141" s="596"/>
      <c r="AF141" s="596"/>
      <c r="AG141" s="50"/>
      <c r="AH141" s="7"/>
      <c r="AI141" s="7"/>
    </row>
    <row r="142" spans="1:35" ht="50.25" customHeight="1">
      <c r="A142" s="217">
        <v>1</v>
      </c>
      <c r="B142" s="386" t="s">
        <v>230</v>
      </c>
      <c r="C142" s="217">
        <v>1</v>
      </c>
      <c r="D142" s="220">
        <v>4128</v>
      </c>
      <c r="E142" s="221">
        <v>15</v>
      </c>
      <c r="F142" s="222">
        <f>D142*30%</f>
        <v>1238.3999999999999</v>
      </c>
      <c r="G142" s="437">
        <f>(D142*C142+J142)*10%</f>
        <v>412.8</v>
      </c>
      <c r="H142" s="391">
        <f>D142*30%</f>
        <v>1238.3999999999999</v>
      </c>
      <c r="I142" s="391"/>
      <c r="J142" s="222"/>
      <c r="K142" s="222"/>
      <c r="L142" s="222"/>
      <c r="M142" s="283">
        <f>(D142+F142+G142+H142+J142)*15%</f>
        <v>1052.6399999999999</v>
      </c>
      <c r="N142" s="222"/>
      <c r="O142" s="223">
        <f>D142*C142+F142+H142+I142+J142+K142+L142+M142+N142+G142</f>
        <v>8070.239999999999</v>
      </c>
      <c r="P142" s="223"/>
      <c r="Q142" s="223">
        <f>O142+P142</f>
        <v>8070.239999999999</v>
      </c>
      <c r="R142" s="223">
        <f>O142*12</f>
        <v>96842.87999999999</v>
      </c>
      <c r="U142" s="7"/>
      <c r="V142" s="52"/>
      <c r="W142" s="7"/>
      <c r="X142" s="42"/>
      <c r="Y142" s="53"/>
      <c r="Z142" s="54"/>
      <c r="AA142" s="54"/>
      <c r="AB142" s="54"/>
      <c r="AC142" s="53"/>
      <c r="AD142" s="54"/>
      <c r="AE142" s="54"/>
      <c r="AF142" s="54"/>
      <c r="AG142" s="42"/>
      <c r="AH142" s="42"/>
      <c r="AI142" s="7"/>
    </row>
    <row r="143" spans="1:35" ht="27" customHeight="1">
      <c r="A143" s="204">
        <v>2</v>
      </c>
      <c r="B143" s="388" t="s">
        <v>99</v>
      </c>
      <c r="C143" s="204">
        <v>4</v>
      </c>
      <c r="D143" s="220">
        <v>3872</v>
      </c>
      <c r="E143" s="221">
        <v>14</v>
      </c>
      <c r="F143" s="222">
        <f>(D143*C143+J143)*30%</f>
        <v>5111.04</v>
      </c>
      <c r="G143" s="437">
        <f>(D143*C143+J143)*10%</f>
        <v>1703.68</v>
      </c>
      <c r="H143" s="391">
        <f>D143*20%+D143*10%*3</f>
        <v>1936.0000000000002</v>
      </c>
      <c r="I143" s="391"/>
      <c r="J143" s="222">
        <f>D143*10%*C143</f>
        <v>1548.8000000000002</v>
      </c>
      <c r="K143" s="222"/>
      <c r="L143" s="170"/>
      <c r="M143" s="283">
        <f>(D143*2+F143+G143+H143+J143)*20%</f>
        <v>3608.704</v>
      </c>
      <c r="N143" s="170"/>
      <c r="O143" s="223">
        <f>D143*C143+F143+H143+I143+J143+K143+L143+M143+N143+G143</f>
        <v>29396.224000000002</v>
      </c>
      <c r="P143" s="223"/>
      <c r="Q143" s="223">
        <f aca="true" t="shared" si="10" ref="Q143:Q157">O143+P143</f>
        <v>29396.224000000002</v>
      </c>
      <c r="R143" s="223">
        <f>O143*12</f>
        <v>352754.688</v>
      </c>
      <c r="S143" s="16"/>
      <c r="U143" s="7"/>
      <c r="V143" s="52"/>
      <c r="W143" s="7"/>
      <c r="X143" s="42"/>
      <c r="Y143" s="53"/>
      <c r="Z143" s="7"/>
      <c r="AA143" s="7"/>
      <c r="AB143" s="7"/>
      <c r="AC143" s="54"/>
      <c r="AD143" s="7"/>
      <c r="AE143" s="7"/>
      <c r="AF143" s="7"/>
      <c r="AG143" s="42"/>
      <c r="AH143" s="42"/>
      <c r="AI143" s="7"/>
    </row>
    <row r="144" spans="1:35" ht="56.25" customHeight="1" hidden="1">
      <c r="A144" s="204">
        <v>3</v>
      </c>
      <c r="B144" s="388" t="s">
        <v>99</v>
      </c>
      <c r="C144" s="204"/>
      <c r="D144" s="220"/>
      <c r="E144" s="221" t="s">
        <v>123</v>
      </c>
      <c r="F144" s="222"/>
      <c r="G144" s="437">
        <f aca="true" t="shared" si="11" ref="G144:G150">(D144*C144+J144)*20%</f>
        <v>0</v>
      </c>
      <c r="H144" s="492"/>
      <c r="I144" s="492"/>
      <c r="J144" s="222"/>
      <c r="K144" s="170"/>
      <c r="L144" s="170"/>
      <c r="M144" s="283">
        <f aca="true" t="shared" si="12" ref="M144:M150">(D144*3+F144+G144+H144+J144)*20%</f>
        <v>0</v>
      </c>
      <c r="N144" s="170"/>
      <c r="O144" s="223">
        <f aca="true" t="shared" si="13" ref="O144:O157">D144*C144+F144+H144+I144+J144+K144+L144+M144+N144+G144</f>
        <v>0</v>
      </c>
      <c r="P144" s="223">
        <f aca="true" t="shared" si="14" ref="P144:P152">3200*C144-O144</f>
        <v>0</v>
      </c>
      <c r="Q144" s="223">
        <f t="shared" si="10"/>
        <v>0</v>
      </c>
      <c r="R144" s="223">
        <f aca="true" t="shared" si="15" ref="R144:R152">O144*12</f>
        <v>0</v>
      </c>
      <c r="U144" s="7"/>
      <c r="V144" s="52"/>
      <c r="W144" s="7"/>
      <c r="X144" s="42"/>
      <c r="Y144" s="53"/>
      <c r="Z144" s="7"/>
      <c r="AA144" s="7"/>
      <c r="AB144" s="7"/>
      <c r="AC144" s="7"/>
      <c r="AD144" s="7"/>
      <c r="AE144" s="7"/>
      <c r="AF144" s="7"/>
      <c r="AG144" s="42"/>
      <c r="AH144" s="42"/>
      <c r="AI144" s="7"/>
    </row>
    <row r="145" spans="1:35" ht="1.5" customHeight="1" hidden="1">
      <c r="A145" s="204"/>
      <c r="B145" s="388" t="s">
        <v>99</v>
      </c>
      <c r="C145" s="204"/>
      <c r="D145" s="220"/>
      <c r="E145" s="221" t="s">
        <v>123</v>
      </c>
      <c r="F145" s="222"/>
      <c r="G145" s="437">
        <f t="shared" si="11"/>
        <v>0</v>
      </c>
      <c r="H145" s="391"/>
      <c r="I145" s="391"/>
      <c r="J145" s="222"/>
      <c r="K145" s="170"/>
      <c r="L145" s="170"/>
      <c r="M145" s="283">
        <f t="shared" si="12"/>
        <v>0</v>
      </c>
      <c r="N145" s="170"/>
      <c r="O145" s="223">
        <f t="shared" si="13"/>
        <v>0</v>
      </c>
      <c r="P145" s="223">
        <f t="shared" si="14"/>
        <v>0</v>
      </c>
      <c r="Q145" s="223">
        <f t="shared" si="10"/>
        <v>0</v>
      </c>
      <c r="R145" s="223">
        <f t="shared" si="15"/>
        <v>0</v>
      </c>
      <c r="U145" s="7"/>
      <c r="V145" s="52"/>
      <c r="W145" s="7"/>
      <c r="X145" s="42"/>
      <c r="Y145" s="53"/>
      <c r="Z145" s="7"/>
      <c r="AA145" s="7"/>
      <c r="AB145" s="7"/>
      <c r="AC145" s="7"/>
      <c r="AD145" s="7"/>
      <c r="AE145" s="7"/>
      <c r="AF145" s="7"/>
      <c r="AG145" s="42"/>
      <c r="AH145" s="42"/>
      <c r="AI145" s="7"/>
    </row>
    <row r="146" spans="1:35" ht="36" customHeight="1" hidden="1">
      <c r="A146" s="204"/>
      <c r="B146" s="388" t="s">
        <v>99</v>
      </c>
      <c r="C146" s="204"/>
      <c r="D146" s="220"/>
      <c r="E146" s="221" t="s">
        <v>123</v>
      </c>
      <c r="F146" s="222"/>
      <c r="G146" s="437">
        <f t="shared" si="11"/>
        <v>0</v>
      </c>
      <c r="H146" s="492"/>
      <c r="I146" s="492"/>
      <c r="J146" s="222"/>
      <c r="K146" s="170"/>
      <c r="L146" s="170"/>
      <c r="M146" s="283">
        <f t="shared" si="12"/>
        <v>0</v>
      </c>
      <c r="N146" s="170"/>
      <c r="O146" s="223">
        <f t="shared" si="13"/>
        <v>0</v>
      </c>
      <c r="P146" s="223">
        <f t="shared" si="14"/>
        <v>0</v>
      </c>
      <c r="Q146" s="223">
        <f t="shared" si="10"/>
        <v>0</v>
      </c>
      <c r="R146" s="223">
        <f t="shared" si="15"/>
        <v>0</v>
      </c>
      <c r="U146" s="7"/>
      <c r="V146" s="52"/>
      <c r="W146" s="7"/>
      <c r="X146" s="42"/>
      <c r="Y146" s="53"/>
      <c r="Z146" s="7"/>
      <c r="AA146" s="7"/>
      <c r="AB146" s="7"/>
      <c r="AC146" s="7"/>
      <c r="AD146" s="7"/>
      <c r="AE146" s="7"/>
      <c r="AF146" s="42"/>
      <c r="AG146" s="42"/>
      <c r="AH146" s="42"/>
      <c r="AI146" s="7"/>
    </row>
    <row r="147" spans="1:35" ht="53.25" customHeight="1" hidden="1">
      <c r="A147" s="204"/>
      <c r="B147" s="388" t="s">
        <v>99</v>
      </c>
      <c r="C147" s="204"/>
      <c r="D147" s="220"/>
      <c r="E147" s="221" t="s">
        <v>123</v>
      </c>
      <c r="F147" s="222"/>
      <c r="G147" s="437">
        <f t="shared" si="11"/>
        <v>0</v>
      </c>
      <c r="H147" s="492"/>
      <c r="I147" s="492"/>
      <c r="J147" s="222">
        <f>D147*10%</f>
        <v>0</v>
      </c>
      <c r="K147" s="170"/>
      <c r="L147" s="170"/>
      <c r="M147" s="283">
        <f t="shared" si="12"/>
        <v>0</v>
      </c>
      <c r="N147" s="170"/>
      <c r="O147" s="223">
        <f t="shared" si="13"/>
        <v>0</v>
      </c>
      <c r="P147" s="223">
        <f t="shared" si="14"/>
        <v>0</v>
      </c>
      <c r="Q147" s="223">
        <f t="shared" si="10"/>
        <v>0</v>
      </c>
      <c r="R147" s="223">
        <f t="shared" si="15"/>
        <v>0</v>
      </c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45.75" customHeight="1" hidden="1">
      <c r="A148" s="204"/>
      <c r="B148" s="388" t="s">
        <v>99</v>
      </c>
      <c r="C148" s="204"/>
      <c r="D148" s="220"/>
      <c r="E148" s="221" t="s">
        <v>123</v>
      </c>
      <c r="F148" s="222"/>
      <c r="G148" s="437">
        <f t="shared" si="11"/>
        <v>0</v>
      </c>
      <c r="H148" s="492"/>
      <c r="I148" s="492"/>
      <c r="J148" s="222"/>
      <c r="K148" s="170"/>
      <c r="L148" s="170"/>
      <c r="M148" s="283">
        <f t="shared" si="12"/>
        <v>0</v>
      </c>
      <c r="N148" s="170"/>
      <c r="O148" s="223">
        <f t="shared" si="13"/>
        <v>0</v>
      </c>
      <c r="P148" s="223">
        <f t="shared" si="14"/>
        <v>0</v>
      </c>
      <c r="Q148" s="223">
        <f t="shared" si="10"/>
        <v>0</v>
      </c>
      <c r="R148" s="223">
        <f t="shared" si="15"/>
        <v>0</v>
      </c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48" customHeight="1" hidden="1">
      <c r="A149" s="204"/>
      <c r="B149" s="388" t="s">
        <v>99</v>
      </c>
      <c r="C149" s="204"/>
      <c r="D149" s="220"/>
      <c r="E149" s="221" t="s">
        <v>123</v>
      </c>
      <c r="F149" s="170"/>
      <c r="G149" s="437">
        <f t="shared" si="11"/>
        <v>0</v>
      </c>
      <c r="H149" s="492"/>
      <c r="I149" s="492"/>
      <c r="J149" s="222">
        <f>D149*10%</f>
        <v>0</v>
      </c>
      <c r="K149" s="170"/>
      <c r="L149" s="170"/>
      <c r="M149" s="283">
        <f t="shared" si="12"/>
        <v>0</v>
      </c>
      <c r="N149" s="170"/>
      <c r="O149" s="223">
        <f t="shared" si="13"/>
        <v>0</v>
      </c>
      <c r="P149" s="223">
        <f t="shared" si="14"/>
        <v>0</v>
      </c>
      <c r="Q149" s="223">
        <f t="shared" si="10"/>
        <v>0</v>
      </c>
      <c r="R149" s="223">
        <f t="shared" si="15"/>
        <v>0</v>
      </c>
      <c r="U149" s="7"/>
      <c r="V149" s="52"/>
      <c r="W149" s="7"/>
      <c r="X149" s="42"/>
      <c r="Y149" s="7"/>
      <c r="Z149" s="7"/>
      <c r="AA149" s="7"/>
      <c r="AB149" s="7"/>
      <c r="AC149" s="7"/>
      <c r="AD149" s="7"/>
      <c r="AE149" s="7"/>
      <c r="AF149" s="7"/>
      <c r="AG149" s="42"/>
      <c r="AH149" s="42"/>
      <c r="AI149" s="7"/>
    </row>
    <row r="150" spans="1:35" ht="59.25" customHeight="1" hidden="1">
      <c r="A150" s="204">
        <v>7</v>
      </c>
      <c r="B150" s="388" t="s">
        <v>99</v>
      </c>
      <c r="C150" s="204"/>
      <c r="D150" s="220"/>
      <c r="E150" s="221" t="s">
        <v>123</v>
      </c>
      <c r="F150" s="170"/>
      <c r="G150" s="437">
        <f t="shared" si="11"/>
        <v>0</v>
      </c>
      <c r="H150" s="492"/>
      <c r="I150" s="492"/>
      <c r="J150" s="222"/>
      <c r="K150" s="170"/>
      <c r="L150" s="170"/>
      <c r="M150" s="283">
        <f t="shared" si="12"/>
        <v>0</v>
      </c>
      <c r="N150" s="170"/>
      <c r="O150" s="223">
        <f t="shared" si="13"/>
        <v>0</v>
      </c>
      <c r="P150" s="223">
        <f t="shared" si="14"/>
        <v>0</v>
      </c>
      <c r="Q150" s="223">
        <f t="shared" si="10"/>
        <v>0</v>
      </c>
      <c r="R150" s="223">
        <f t="shared" si="15"/>
        <v>0</v>
      </c>
      <c r="U150" s="7"/>
      <c r="V150" s="52"/>
      <c r="W150" s="7"/>
      <c r="X150" s="42"/>
      <c r="Y150" s="7"/>
      <c r="Z150" s="7"/>
      <c r="AA150" s="7"/>
      <c r="AB150" s="7"/>
      <c r="AC150" s="7"/>
      <c r="AD150" s="7"/>
      <c r="AE150" s="7"/>
      <c r="AF150" s="7"/>
      <c r="AG150" s="42"/>
      <c r="AH150" s="42"/>
      <c r="AI150" s="7"/>
    </row>
    <row r="151" spans="1:35" ht="33" customHeight="1">
      <c r="A151" s="204">
        <v>3</v>
      </c>
      <c r="B151" s="388" t="s">
        <v>99</v>
      </c>
      <c r="C151" s="204">
        <v>2</v>
      </c>
      <c r="D151" s="220">
        <v>3392</v>
      </c>
      <c r="E151" s="221">
        <v>12</v>
      </c>
      <c r="F151" s="170">
        <f>(D151*C151+J151)*20%</f>
        <v>1511.68</v>
      </c>
      <c r="G151" s="437">
        <f>(D151*C151+J151)*10%</f>
        <v>755.84</v>
      </c>
      <c r="H151" s="391">
        <f>(C151*D151+J151)*30%</f>
        <v>2267.52</v>
      </c>
      <c r="I151" s="391"/>
      <c r="J151" s="222">
        <f>D143*C151*10%</f>
        <v>774.4000000000001</v>
      </c>
      <c r="K151" s="170"/>
      <c r="L151" s="170"/>
      <c r="M151" s="283">
        <f>(D151+F151+G151+H151+J151)*20%</f>
        <v>1740.2880000000002</v>
      </c>
      <c r="N151" s="170"/>
      <c r="O151" s="223">
        <f>D151*C151+F151+H151+I151+J151+K151+L151+M151+N151+G151</f>
        <v>13833.728000000001</v>
      </c>
      <c r="P151" s="223"/>
      <c r="Q151" s="223">
        <f t="shared" si="10"/>
        <v>13833.728000000001</v>
      </c>
      <c r="R151" s="223">
        <f t="shared" si="15"/>
        <v>166004.736</v>
      </c>
      <c r="U151" s="589"/>
      <c r="V151" s="589"/>
      <c r="W151" s="7"/>
      <c r="X151" s="7"/>
      <c r="Y151" s="42"/>
      <c r="Z151" s="7"/>
      <c r="AA151" s="7"/>
      <c r="AB151" s="7"/>
      <c r="AC151" s="7"/>
      <c r="AD151" s="7"/>
      <c r="AE151" s="7"/>
      <c r="AF151" s="7"/>
      <c r="AG151" s="42"/>
      <c r="AH151" s="42"/>
      <c r="AI151" s="7"/>
    </row>
    <row r="152" spans="1:35" ht="33.75" customHeight="1" hidden="1">
      <c r="A152" s="204">
        <v>3</v>
      </c>
      <c r="B152" s="388"/>
      <c r="C152" s="204"/>
      <c r="D152" s="220"/>
      <c r="E152" s="221"/>
      <c r="F152" s="170"/>
      <c r="G152" s="437"/>
      <c r="H152" s="391"/>
      <c r="I152" s="391"/>
      <c r="J152" s="222"/>
      <c r="K152" s="170"/>
      <c r="L152" s="170"/>
      <c r="M152" s="170"/>
      <c r="N152" s="170"/>
      <c r="O152" s="223">
        <f>D152*C152+F152+H152+I152+J152+K152+L152+M152+N152+G152</f>
        <v>0</v>
      </c>
      <c r="P152" s="223">
        <f t="shared" si="14"/>
        <v>0</v>
      </c>
      <c r="Q152" s="223">
        <f t="shared" si="10"/>
        <v>0</v>
      </c>
      <c r="R152" s="223">
        <f t="shared" si="15"/>
        <v>0</v>
      </c>
      <c r="U152" s="7"/>
      <c r="V152" s="52"/>
      <c r="W152" s="7"/>
      <c r="X152" s="42"/>
      <c r="Y152" s="7"/>
      <c r="Z152" s="7"/>
      <c r="AA152" s="7"/>
      <c r="AB152" s="7"/>
      <c r="AC152" s="7"/>
      <c r="AD152" s="7"/>
      <c r="AE152" s="7"/>
      <c r="AF152" s="7"/>
      <c r="AG152" s="42"/>
      <c r="AH152" s="42"/>
      <c r="AI152" s="7"/>
    </row>
    <row r="153" spans="1:35" ht="15.75">
      <c r="A153" s="204">
        <v>4</v>
      </c>
      <c r="B153" s="388" t="s">
        <v>23</v>
      </c>
      <c r="C153" s="204">
        <v>1</v>
      </c>
      <c r="D153" s="220">
        <v>2176</v>
      </c>
      <c r="E153" s="221">
        <v>5</v>
      </c>
      <c r="F153" s="170"/>
      <c r="G153" s="437"/>
      <c r="H153" s="391">
        <f>D153*50%</f>
        <v>1088</v>
      </c>
      <c r="I153" s="391"/>
      <c r="J153" s="170"/>
      <c r="K153" s="170"/>
      <c r="L153" s="170"/>
      <c r="M153" s="283">
        <f>(D153+H153)*50%</f>
        <v>1632</v>
      </c>
      <c r="N153" s="170"/>
      <c r="O153" s="223">
        <f>D153*C153+F153+H153+I153+J153+K153+L153+M153+N153+G153</f>
        <v>4896</v>
      </c>
      <c r="P153" s="223"/>
      <c r="Q153" s="223">
        <f t="shared" si="10"/>
        <v>4896</v>
      </c>
      <c r="R153" s="223">
        <f>O153*12</f>
        <v>58752</v>
      </c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47.25" hidden="1">
      <c r="A154" s="204">
        <v>5</v>
      </c>
      <c r="B154" s="392" t="s">
        <v>75</v>
      </c>
      <c r="C154" s="204"/>
      <c r="D154" s="220"/>
      <c r="E154" s="221"/>
      <c r="F154" s="170"/>
      <c r="G154" s="437"/>
      <c r="H154" s="391"/>
      <c r="I154" s="391"/>
      <c r="J154" s="170"/>
      <c r="K154" s="170"/>
      <c r="L154" s="170"/>
      <c r="M154" s="283">
        <f>(D154+H154)*50%</f>
        <v>0</v>
      </c>
      <c r="N154" s="170"/>
      <c r="O154" s="223">
        <f>D154*C154+F154+H154+I154+J154+K154+L154+M154+N154+G154</f>
        <v>0</v>
      </c>
      <c r="P154" s="223">
        <f>3200*C154-O154</f>
        <v>0</v>
      </c>
      <c r="Q154" s="223">
        <f t="shared" si="10"/>
        <v>0</v>
      </c>
      <c r="R154" s="223">
        <f>O154*12</f>
        <v>0</v>
      </c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60" customHeight="1">
      <c r="A155" s="204">
        <v>5</v>
      </c>
      <c r="B155" s="386" t="s">
        <v>228</v>
      </c>
      <c r="C155" s="204">
        <v>1</v>
      </c>
      <c r="D155" s="220">
        <v>4128</v>
      </c>
      <c r="E155" s="221">
        <v>15</v>
      </c>
      <c r="F155" s="170">
        <f>(D155+J155)*30%</f>
        <v>1238.3999999999999</v>
      </c>
      <c r="G155" s="437">
        <f>(D155*C155+J155)*10%</f>
        <v>412.8</v>
      </c>
      <c r="H155" s="391"/>
      <c r="I155" s="391"/>
      <c r="J155" s="170"/>
      <c r="K155" s="170"/>
      <c r="L155" s="170"/>
      <c r="M155" s="283">
        <f>(D155+F155+G155)*20%</f>
        <v>1155.84</v>
      </c>
      <c r="N155" s="170"/>
      <c r="O155" s="223">
        <f t="shared" si="13"/>
        <v>6935.04</v>
      </c>
      <c r="P155" s="223"/>
      <c r="Q155" s="223">
        <f t="shared" si="10"/>
        <v>6935.04</v>
      </c>
      <c r="R155" s="223">
        <f>O155*12</f>
        <v>83220.48</v>
      </c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78" customHeight="1">
      <c r="A156" s="204">
        <v>6</v>
      </c>
      <c r="B156" s="388" t="s">
        <v>229</v>
      </c>
      <c r="C156" s="204">
        <v>2</v>
      </c>
      <c r="D156" s="220">
        <v>3872</v>
      </c>
      <c r="E156" s="221">
        <v>14</v>
      </c>
      <c r="F156" s="170">
        <f>(D156*C156+J156)*30%</f>
        <v>2323.2</v>
      </c>
      <c r="G156" s="437">
        <f>(D156*C156+J156)*10%</f>
        <v>774.4000000000001</v>
      </c>
      <c r="H156" s="391"/>
      <c r="I156" s="391"/>
      <c r="J156" s="170"/>
      <c r="K156" s="170"/>
      <c r="L156" s="170"/>
      <c r="M156" s="170"/>
      <c r="N156" s="170"/>
      <c r="O156" s="223">
        <f>D156*C156+F156+H156+I156+J156+K156+L156+M156+N156+G156</f>
        <v>10841.6</v>
      </c>
      <c r="P156" s="223"/>
      <c r="Q156" s="223">
        <f t="shared" si="10"/>
        <v>10841.6</v>
      </c>
      <c r="R156" s="223">
        <f>O156*12</f>
        <v>130099.20000000001</v>
      </c>
      <c r="U156" s="7"/>
      <c r="V156" s="7"/>
      <c r="W156" s="7"/>
      <c r="X156" s="7"/>
      <c r="Y156" s="434">
        <f>C142+C143+C151+C155+C156+C219</f>
        <v>11</v>
      </c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81" customHeight="1">
      <c r="A157" s="204">
        <v>7</v>
      </c>
      <c r="B157" s="224" t="s">
        <v>384</v>
      </c>
      <c r="C157" s="204">
        <v>0.5</v>
      </c>
      <c r="D157" s="161">
        <v>3392</v>
      </c>
      <c r="E157" s="221">
        <v>12</v>
      </c>
      <c r="F157" s="170">
        <f>D157*C157*20%</f>
        <v>339.20000000000005</v>
      </c>
      <c r="G157" s="395"/>
      <c r="H157" s="391"/>
      <c r="I157" s="391"/>
      <c r="J157" s="170"/>
      <c r="K157" s="170"/>
      <c r="L157" s="170"/>
      <c r="M157" s="170"/>
      <c r="N157" s="170"/>
      <c r="O157" s="223">
        <f t="shared" si="13"/>
        <v>2035.2</v>
      </c>
      <c r="P157" s="223"/>
      <c r="Q157" s="223">
        <f t="shared" si="10"/>
        <v>2035.2</v>
      </c>
      <c r="R157" s="223">
        <f>O157*12</f>
        <v>24422.4</v>
      </c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12.75" customHeight="1">
      <c r="A158" s="161"/>
      <c r="B158" s="161"/>
      <c r="C158" s="204"/>
      <c r="D158" s="161"/>
      <c r="E158" s="161"/>
      <c r="F158" s="170"/>
      <c r="G158" s="438"/>
      <c r="H158" s="391"/>
      <c r="I158" s="391"/>
      <c r="J158" s="170"/>
      <c r="K158" s="170"/>
      <c r="L158" s="170"/>
      <c r="M158" s="170"/>
      <c r="N158" s="170"/>
      <c r="O158" s="161"/>
      <c r="P158" s="161"/>
      <c r="Q158" s="161"/>
      <c r="R158" s="161"/>
      <c r="S158" s="16" t="s">
        <v>188</v>
      </c>
      <c r="U158" s="7"/>
      <c r="V158" s="7"/>
      <c r="W158" s="7"/>
      <c r="X158" s="172"/>
      <c r="Y158" s="7">
        <f>D142+D143*C143+D151*C151+D155+D156*C156+H142+H143+H151+H153+J143+J151+D219+K219</f>
        <v>51195.520000000004</v>
      </c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15.75">
      <c r="A159" s="161"/>
      <c r="B159" s="161" t="s">
        <v>15</v>
      </c>
      <c r="C159" s="439">
        <f>SUM(C142:C157)</f>
        <v>11.5</v>
      </c>
      <c r="D159" s="230">
        <f>D142+D143*C143+D145*C145+D153+D154+D152*C152+D155+D156*C156+D157*C157+D151</f>
        <v>38752</v>
      </c>
      <c r="E159" s="394"/>
      <c r="F159" s="393">
        <f>SUM(F142:F155)+F156+F157</f>
        <v>11761.920000000002</v>
      </c>
      <c r="G159" s="395">
        <f aca="true" t="shared" si="16" ref="G159:N159">SUM(G142:G155)+G156</f>
        <v>4059.5200000000004</v>
      </c>
      <c r="H159" s="393">
        <f>SUM(H142:H155)+H156</f>
        <v>6529.92</v>
      </c>
      <c r="I159" s="393">
        <f>SUM(I142:I155)+I156</f>
        <v>0</v>
      </c>
      <c r="J159" s="393">
        <f>SUM(J142:J155)+J156</f>
        <v>2323.2000000000003</v>
      </c>
      <c r="K159" s="393">
        <f t="shared" si="16"/>
        <v>0</v>
      </c>
      <c r="L159" s="393">
        <f t="shared" si="16"/>
        <v>0</v>
      </c>
      <c r="M159" s="395">
        <f t="shared" si="16"/>
        <v>9189.472</v>
      </c>
      <c r="N159" s="393">
        <f t="shared" si="16"/>
        <v>0</v>
      </c>
      <c r="O159" s="393">
        <f>SUM(O142:O157)</f>
        <v>76008.032</v>
      </c>
      <c r="P159" s="393">
        <f>SUM(P142:P157)</f>
        <v>0</v>
      </c>
      <c r="Q159" s="393">
        <f>SUM(Q142:Q157)</f>
        <v>76008.032</v>
      </c>
      <c r="R159" s="393">
        <f>SUM(R142:R155)</f>
        <v>757574.784</v>
      </c>
      <c r="S159" s="16">
        <f>O142+O143+O152+O155+O156+O222</f>
        <v>59924.064</v>
      </c>
      <c r="U159" s="7"/>
      <c r="V159" s="7"/>
      <c r="W159" s="7"/>
      <c r="X159" s="172"/>
      <c r="Y159" s="42">
        <f>D153+D154+H153+D157*C157</f>
        <v>4960</v>
      </c>
      <c r="Z159" s="42"/>
      <c r="AA159" s="42"/>
      <c r="AB159" s="42"/>
      <c r="AC159" s="42"/>
      <c r="AD159" s="42"/>
      <c r="AE159" s="42"/>
      <c r="AF159" s="42"/>
      <c r="AG159" s="42"/>
      <c r="AH159" s="42"/>
      <c r="AI159" s="7"/>
    </row>
    <row r="160" spans="1:34" ht="15.75">
      <c r="A160" s="173"/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U160" s="516"/>
      <c r="V160" s="516"/>
      <c r="W160" s="516"/>
      <c r="X160" s="516"/>
      <c r="Y160" s="516"/>
      <c r="Z160" s="516"/>
      <c r="AA160" s="516"/>
      <c r="AB160" s="516"/>
      <c r="AC160" s="516"/>
      <c r="AD160" s="516"/>
      <c r="AE160" s="516"/>
      <c r="AF160" s="516"/>
      <c r="AG160" s="516"/>
      <c r="AH160" s="516"/>
    </row>
    <row r="161" spans="1:19" ht="15.75">
      <c r="A161" s="173"/>
      <c r="B161" s="539"/>
      <c r="C161" s="539"/>
      <c r="D161" s="539"/>
      <c r="E161" s="539"/>
      <c r="F161" s="539"/>
      <c r="G161" s="539"/>
      <c r="H161" s="539"/>
      <c r="I161" s="539"/>
      <c r="J161" s="539"/>
      <c r="K161" s="539"/>
      <c r="L161" s="539"/>
      <c r="M161" s="539"/>
      <c r="N161" s="539"/>
      <c r="O161" s="539"/>
      <c r="P161" s="539"/>
      <c r="Q161" s="539"/>
      <c r="R161" s="539"/>
      <c r="S161" s="3" t="s">
        <v>189</v>
      </c>
    </row>
    <row r="162" spans="1:18" ht="21" customHeight="1" hidden="1">
      <c r="A162" s="173"/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289"/>
    </row>
    <row r="163" spans="1:19" ht="15.75">
      <c r="A163" s="173"/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16">
        <f>O154+O153</f>
        <v>4896</v>
      </c>
    </row>
    <row r="164" spans="1:22" ht="37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18" ht="14.25" customHeight="1">
      <c r="A165" s="172"/>
      <c r="B165" s="172"/>
      <c r="C165" s="200" t="s">
        <v>371</v>
      </c>
      <c r="D165" s="200"/>
      <c r="E165" s="200"/>
      <c r="F165" s="200"/>
      <c r="G165" s="200"/>
      <c r="H165" s="200"/>
      <c r="I165" s="200"/>
      <c r="J165" s="200"/>
      <c r="K165" s="198" t="s">
        <v>372</v>
      </c>
      <c r="L165" s="198"/>
      <c r="M165" s="198"/>
      <c r="N165" s="198"/>
      <c r="O165" s="172"/>
      <c r="P165" s="172"/>
      <c r="Q165" s="172"/>
      <c r="R165" s="172"/>
    </row>
    <row r="166" spans="1:18" ht="18.75">
      <c r="A166" s="198"/>
      <c r="B166" s="232"/>
      <c r="C166" s="232"/>
      <c r="D166" s="232"/>
      <c r="E166" s="232"/>
      <c r="F166" s="232"/>
      <c r="G166" s="232"/>
      <c r="H166" s="232"/>
      <c r="I166" s="232"/>
      <c r="J166" s="232"/>
      <c r="K166" s="232"/>
      <c r="L166" s="232"/>
      <c r="M166" s="232"/>
      <c r="N166" s="198"/>
      <c r="O166" s="198"/>
      <c r="P166" s="198"/>
      <c r="Q166" s="198"/>
      <c r="R166" s="198"/>
    </row>
    <row r="167" spans="1:18" ht="15.75">
      <c r="A167" s="172"/>
      <c r="B167" s="172"/>
      <c r="C167" s="173"/>
      <c r="D167" s="172"/>
      <c r="E167" s="172"/>
      <c r="F167" s="172"/>
      <c r="G167" s="172"/>
      <c r="H167" s="172"/>
      <c r="I167" s="172"/>
      <c r="J167" s="173"/>
      <c r="K167" s="172"/>
      <c r="L167" s="172"/>
      <c r="M167" s="172"/>
      <c r="N167" s="172"/>
      <c r="O167" s="172"/>
      <c r="P167" s="172"/>
      <c r="Q167" s="172"/>
      <c r="R167" s="172"/>
    </row>
    <row r="168" spans="1:18" ht="15">
      <c r="A168" s="469"/>
      <c r="B168" s="469"/>
      <c r="C168" s="469"/>
      <c r="D168" s="469"/>
      <c r="E168" s="469"/>
      <c r="F168" s="469"/>
      <c r="G168" s="469"/>
      <c r="H168" s="469"/>
      <c r="I168" s="469"/>
      <c r="J168" s="469"/>
      <c r="K168" s="469"/>
      <c r="L168" s="469"/>
      <c r="M168" s="469"/>
      <c r="N168" s="469"/>
      <c r="O168" s="469"/>
      <c r="P168" s="469"/>
      <c r="Q168" s="469"/>
      <c r="R168" s="469"/>
    </row>
    <row r="169" spans="1:18" ht="15">
      <c r="A169" s="172"/>
      <c r="B169" s="418" t="s">
        <v>368</v>
      </c>
      <c r="C169" s="172"/>
      <c r="D169" s="172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</row>
    <row r="170" ht="15">
      <c r="B170" s="194">
        <v>42041</v>
      </c>
    </row>
    <row r="171" ht="15">
      <c r="E171" s="67"/>
    </row>
    <row r="172" spans="10:17" ht="15" hidden="1">
      <c r="J172" s="522" t="s">
        <v>174</v>
      </c>
      <c r="K172" s="522"/>
      <c r="L172" s="522"/>
      <c r="M172" s="522"/>
      <c r="N172" s="522"/>
      <c r="O172" s="522"/>
      <c r="P172" s="194"/>
      <c r="Q172" s="194"/>
    </row>
    <row r="173" spans="2:17" ht="15" hidden="1">
      <c r="B173" s="4" t="s">
        <v>0</v>
      </c>
      <c r="C173" s="5" t="s">
        <v>164</v>
      </c>
      <c r="J173" s="522" t="s">
        <v>166</v>
      </c>
      <c r="K173" s="522"/>
      <c r="L173" s="522"/>
      <c r="M173" s="522"/>
      <c r="N173" s="522"/>
      <c r="O173" s="522"/>
      <c r="P173" s="194"/>
      <c r="Q173" s="194"/>
    </row>
    <row r="174" spans="2:17" ht="15" hidden="1">
      <c r="B174" s="56" t="s">
        <v>165</v>
      </c>
      <c r="C174" s="56"/>
      <c r="J174" s="522" t="s">
        <v>168</v>
      </c>
      <c r="K174" s="522"/>
      <c r="L174" s="522"/>
      <c r="M174" s="522"/>
      <c r="N174" s="522"/>
      <c r="O174" s="522"/>
      <c r="P174" s="194"/>
      <c r="Q174" s="194"/>
    </row>
    <row r="175" spans="2:17" ht="15" hidden="1">
      <c r="B175" s="3" t="s">
        <v>16</v>
      </c>
      <c r="J175" s="7"/>
      <c r="K175" s="7"/>
      <c r="L175" s="7"/>
      <c r="M175" s="7"/>
      <c r="N175" s="7"/>
      <c r="O175" s="7"/>
      <c r="P175" s="7"/>
      <c r="Q175" s="7"/>
    </row>
    <row r="176" spans="10:17" ht="15" hidden="1">
      <c r="J176" s="7"/>
      <c r="K176" s="7"/>
      <c r="L176" s="7"/>
      <c r="M176" s="7"/>
      <c r="N176" s="7"/>
      <c r="O176" s="7"/>
      <c r="P176" s="7"/>
      <c r="Q176" s="7"/>
    </row>
    <row r="177" spans="10:17" ht="15" hidden="1">
      <c r="J177" s="7"/>
      <c r="K177" s="7"/>
      <c r="L177" s="7"/>
      <c r="M177" s="7"/>
      <c r="N177" s="7"/>
      <c r="O177" s="7"/>
      <c r="P177" s="7"/>
      <c r="Q177" s="7"/>
    </row>
    <row r="178" ht="15" hidden="1"/>
    <row r="179" spans="1:18" ht="12.75" customHeight="1" hidden="1">
      <c r="A179" s="531" t="s">
        <v>1</v>
      </c>
      <c r="B179" s="8" t="s">
        <v>2</v>
      </c>
      <c r="C179" s="9" t="s">
        <v>4</v>
      </c>
      <c r="D179" s="506" t="s">
        <v>112</v>
      </c>
      <c r="E179" s="507"/>
      <c r="F179" s="525" t="s">
        <v>7</v>
      </c>
      <c r="G179" s="526"/>
      <c r="H179" s="526"/>
      <c r="I179" s="10"/>
      <c r="J179" s="10"/>
      <c r="K179" s="10"/>
      <c r="L179" s="10" t="s">
        <v>8</v>
      </c>
      <c r="M179" s="10"/>
      <c r="N179" s="11"/>
      <c r="O179" s="8" t="s">
        <v>10</v>
      </c>
      <c r="P179" s="8"/>
      <c r="Q179" s="8"/>
      <c r="R179" s="9" t="s">
        <v>13</v>
      </c>
    </row>
    <row r="180" spans="1:18" ht="12.75" customHeight="1" hidden="1">
      <c r="A180" s="532"/>
      <c r="B180" s="13" t="s">
        <v>3</v>
      </c>
      <c r="C180" s="13" t="s">
        <v>5</v>
      </c>
      <c r="D180" s="508"/>
      <c r="E180" s="509"/>
      <c r="F180" s="527" t="s">
        <v>18</v>
      </c>
      <c r="G180" s="528" t="s">
        <v>147</v>
      </c>
      <c r="H180" s="527"/>
      <c r="I180" s="527"/>
      <c r="J180" s="527"/>
      <c r="K180" s="528"/>
      <c r="L180" s="521"/>
      <c r="M180" s="518"/>
      <c r="N180" s="518"/>
      <c r="O180" s="13" t="s">
        <v>11</v>
      </c>
      <c r="P180" s="13"/>
      <c r="Q180" s="13"/>
      <c r="R180" s="14" t="s">
        <v>11</v>
      </c>
    </row>
    <row r="181" spans="1:18" ht="15" hidden="1">
      <c r="A181" s="532"/>
      <c r="B181" s="13"/>
      <c r="C181" s="13" t="s">
        <v>6</v>
      </c>
      <c r="D181" s="508"/>
      <c r="E181" s="509"/>
      <c r="F181" s="519"/>
      <c r="G181" s="529"/>
      <c r="H181" s="519"/>
      <c r="I181" s="519"/>
      <c r="J181" s="519"/>
      <c r="K181" s="529"/>
      <c r="L181" s="519"/>
      <c r="M181" s="519"/>
      <c r="N181" s="519"/>
      <c r="O181" s="15" t="s">
        <v>12</v>
      </c>
      <c r="P181" s="15"/>
      <c r="Q181" s="15"/>
      <c r="R181" s="14" t="s">
        <v>14</v>
      </c>
    </row>
    <row r="182" spans="1:18" ht="15" hidden="1">
      <c r="A182" s="12"/>
      <c r="B182" s="13"/>
      <c r="C182" s="13"/>
      <c r="D182" s="508"/>
      <c r="E182" s="509"/>
      <c r="F182" s="519"/>
      <c r="G182" s="529"/>
      <c r="H182" s="519"/>
      <c r="I182" s="519"/>
      <c r="J182" s="519"/>
      <c r="K182" s="529"/>
      <c r="L182" s="519"/>
      <c r="M182" s="519"/>
      <c r="N182" s="519"/>
      <c r="O182" s="15"/>
      <c r="P182" s="15"/>
      <c r="Q182" s="15"/>
      <c r="R182" s="14"/>
    </row>
    <row r="183" spans="1:18" ht="80.25" customHeight="1" hidden="1">
      <c r="A183" s="17"/>
      <c r="B183" s="18"/>
      <c r="C183" s="18"/>
      <c r="D183" s="510"/>
      <c r="E183" s="511"/>
      <c r="F183" s="520"/>
      <c r="G183" s="530"/>
      <c r="H183" s="520"/>
      <c r="I183" s="520"/>
      <c r="J183" s="520"/>
      <c r="K183" s="530"/>
      <c r="L183" s="520"/>
      <c r="M183" s="520"/>
      <c r="N183" s="520"/>
      <c r="O183" s="19"/>
      <c r="P183" s="19"/>
      <c r="Q183" s="19"/>
      <c r="R183" s="20"/>
    </row>
    <row r="184" spans="1:18" ht="45" hidden="1">
      <c r="A184" s="21">
        <v>1</v>
      </c>
      <c r="B184" s="51" t="s">
        <v>149</v>
      </c>
      <c r="C184" s="57">
        <v>1</v>
      </c>
      <c r="D184" s="23">
        <v>1832</v>
      </c>
      <c r="E184" s="24" t="s">
        <v>133</v>
      </c>
      <c r="F184" s="25">
        <f>(D184+H184)*30%</f>
        <v>549.6</v>
      </c>
      <c r="G184" s="25">
        <f>(D184*C184+J184+K184)*20%</f>
        <v>366.40000000000003</v>
      </c>
      <c r="H184" s="25"/>
      <c r="I184" s="25"/>
      <c r="J184" s="25"/>
      <c r="K184" s="33"/>
      <c r="L184" s="25"/>
      <c r="M184" s="25"/>
      <c r="N184" s="25"/>
      <c r="O184" s="58">
        <f>D184*C184+F184+H184+I184+J184+K184+L184+M184+N184+G184</f>
        <v>2748</v>
      </c>
      <c r="P184" s="58"/>
      <c r="Q184" s="58"/>
      <c r="R184" s="58">
        <f>O184*12</f>
        <v>32976</v>
      </c>
    </row>
    <row r="185" spans="1:18" ht="45" hidden="1">
      <c r="A185" s="30">
        <v>2</v>
      </c>
      <c r="B185" s="55" t="s">
        <v>167</v>
      </c>
      <c r="C185" s="31">
        <v>0.5</v>
      </c>
      <c r="D185" s="23">
        <v>1711</v>
      </c>
      <c r="E185" s="24" t="s">
        <v>123</v>
      </c>
      <c r="F185" s="25">
        <f>(D185+H185)*30%</f>
        <v>513.3</v>
      </c>
      <c r="G185" s="25">
        <f>(D185*C185+J185+K185)*20%</f>
        <v>171.10000000000002</v>
      </c>
      <c r="H185" s="25"/>
      <c r="I185" s="33"/>
      <c r="J185" s="33"/>
      <c r="K185" s="33"/>
      <c r="L185" s="33"/>
      <c r="M185" s="33"/>
      <c r="N185" s="33"/>
      <c r="O185" s="58">
        <f>D185*C185+F185+H185+I185+J185+K185+L185+M185+N185+G185</f>
        <v>1539.9</v>
      </c>
      <c r="P185" s="58"/>
      <c r="Q185" s="58"/>
      <c r="R185" s="58"/>
    </row>
    <row r="186" spans="1:18" ht="15" hidden="1">
      <c r="A186" s="31"/>
      <c r="B186" s="55"/>
      <c r="C186" s="31"/>
      <c r="D186" s="40"/>
      <c r="E186" s="40"/>
      <c r="F186" s="31"/>
      <c r="G186" s="31"/>
      <c r="H186" s="33"/>
      <c r="I186" s="33"/>
      <c r="J186" s="33"/>
      <c r="K186" s="33"/>
      <c r="L186" s="33"/>
      <c r="M186" s="33"/>
      <c r="N186" s="33"/>
      <c r="O186" s="20"/>
      <c r="P186" s="20"/>
      <c r="Q186" s="20"/>
      <c r="R186" s="20"/>
    </row>
    <row r="187" spans="1:18" ht="15" hidden="1">
      <c r="A187" s="31"/>
      <c r="B187" s="55" t="s">
        <v>52</v>
      </c>
      <c r="C187" s="48">
        <f>SUM(C184:C186)</f>
        <v>1.5</v>
      </c>
      <c r="D187" s="40">
        <f>D184+D185</f>
        <v>3543</v>
      </c>
      <c r="E187" s="40"/>
      <c r="F187" s="33">
        <f aca="true" t="shared" si="17" ref="F187:R187">SUM(F184:F186)</f>
        <v>1062.9</v>
      </c>
      <c r="G187" s="33">
        <f t="shared" si="17"/>
        <v>537.5</v>
      </c>
      <c r="H187" s="33">
        <f t="shared" si="17"/>
        <v>0</v>
      </c>
      <c r="I187" s="33">
        <f t="shared" si="17"/>
        <v>0</v>
      </c>
      <c r="J187" s="33">
        <f t="shared" si="17"/>
        <v>0</v>
      </c>
      <c r="K187" s="33">
        <f t="shared" si="17"/>
        <v>0</v>
      </c>
      <c r="L187" s="33">
        <f t="shared" si="17"/>
        <v>0</v>
      </c>
      <c r="M187" s="33">
        <f t="shared" si="17"/>
        <v>0</v>
      </c>
      <c r="N187" s="33">
        <f t="shared" si="17"/>
        <v>0</v>
      </c>
      <c r="O187" s="33">
        <f t="shared" si="17"/>
        <v>4287.9</v>
      </c>
      <c r="P187" s="33"/>
      <c r="Q187" s="33"/>
      <c r="R187" s="33">
        <f t="shared" si="17"/>
        <v>32976</v>
      </c>
    </row>
    <row r="188" spans="1:18" ht="15" hidden="1">
      <c r="A188" s="31"/>
      <c r="B188" s="55"/>
      <c r="C188" s="31"/>
      <c r="D188" s="31"/>
      <c r="E188" s="31"/>
      <c r="F188" s="31"/>
      <c r="G188" s="31"/>
      <c r="H188" s="33"/>
      <c r="I188" s="33"/>
      <c r="J188" s="33"/>
      <c r="K188" s="33"/>
      <c r="L188" s="33"/>
      <c r="M188" s="33"/>
      <c r="N188" s="33"/>
      <c r="O188" s="20"/>
      <c r="P188" s="20"/>
      <c r="Q188" s="20"/>
      <c r="R188" s="20"/>
    </row>
    <row r="189" spans="1:18" ht="15" hidden="1">
      <c r="A189" s="31"/>
      <c r="B189" s="55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20"/>
      <c r="P189" s="20"/>
      <c r="Q189" s="20"/>
      <c r="R189" s="20"/>
    </row>
    <row r="190" spans="1:18" ht="15" hidden="1">
      <c r="A190" s="7"/>
      <c r="B190" s="52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42"/>
      <c r="P190" s="42"/>
      <c r="Q190" s="42"/>
      <c r="R190" s="42"/>
    </row>
    <row r="191" spans="1:18" ht="15" hidden="1">
      <c r="A191" s="7"/>
      <c r="B191" s="52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15:17" ht="12.75" customHeight="1" hidden="1">
      <c r="O192" s="16"/>
      <c r="P192" s="16"/>
      <c r="Q192" s="16"/>
    </row>
    <row r="193" ht="15" hidden="1"/>
    <row r="194" spans="1:17" ht="15" hidden="1">
      <c r="A194" s="516" t="s">
        <v>175</v>
      </c>
      <c r="B194" s="516"/>
      <c r="C194" s="516"/>
      <c r="D194" s="516"/>
      <c r="E194" s="516"/>
      <c r="F194" s="516"/>
      <c r="G194" s="516"/>
      <c r="H194" s="516"/>
      <c r="I194" s="516"/>
      <c r="J194" s="516"/>
      <c r="K194" s="516"/>
      <c r="L194" s="516"/>
      <c r="M194" s="516"/>
      <c r="N194" s="516"/>
      <c r="O194" s="516"/>
      <c r="P194" s="408"/>
      <c r="Q194" s="408"/>
    </row>
    <row r="195" spans="18:21" ht="18" customHeight="1" hidden="1">
      <c r="R195" s="2"/>
      <c r="S195" s="2"/>
      <c r="T195" s="2"/>
      <c r="U195" s="2"/>
    </row>
    <row r="196" ht="12.75" customHeight="1" hidden="1"/>
    <row r="197" spans="1:17" ht="15" hidden="1">
      <c r="A197" s="516"/>
      <c r="B197" s="516"/>
      <c r="C197" s="516"/>
      <c r="D197" s="516"/>
      <c r="E197" s="516"/>
      <c r="F197" s="516"/>
      <c r="G197" s="516"/>
      <c r="H197" s="516"/>
      <c r="I197" s="516"/>
      <c r="J197" s="516"/>
      <c r="K197" s="516"/>
      <c r="L197" s="516"/>
      <c r="M197" s="516"/>
      <c r="N197" s="516"/>
      <c r="O197" s="516"/>
      <c r="P197" s="408"/>
      <c r="Q197" s="408"/>
    </row>
    <row r="198" ht="15" hidden="1">
      <c r="B198" s="3" t="s">
        <v>176</v>
      </c>
    </row>
    <row r="199" ht="15" hidden="1"/>
    <row r="200" ht="15" hidden="1"/>
    <row r="201" spans="1:18" ht="20.25">
      <c r="A201" s="173"/>
      <c r="B201" s="173"/>
      <c r="C201" s="173"/>
      <c r="D201" s="173"/>
      <c r="E201" s="173"/>
      <c r="F201" s="173"/>
      <c r="G201" s="196"/>
      <c r="H201" s="173"/>
      <c r="I201" s="173"/>
      <c r="J201" s="487" t="s">
        <v>314</v>
      </c>
      <c r="K201" s="487"/>
      <c r="L201" s="487"/>
      <c r="M201" s="487"/>
      <c r="N201" s="487"/>
      <c r="O201" s="487"/>
      <c r="P201" s="358"/>
      <c r="Q201" s="358"/>
      <c r="R201" s="173"/>
    </row>
    <row r="202" spans="1:18" ht="15.75" hidden="1">
      <c r="A202" s="173"/>
      <c r="B202" s="173"/>
      <c r="C202" s="173"/>
      <c r="D202" s="173"/>
      <c r="E202" s="173"/>
      <c r="F202" s="173"/>
      <c r="G202" s="173"/>
      <c r="H202" s="173"/>
      <c r="I202" s="173"/>
      <c r="J202" s="358"/>
      <c r="K202" s="358"/>
      <c r="L202" s="358"/>
      <c r="M202" s="358"/>
      <c r="N202" s="358"/>
      <c r="O202" s="358"/>
      <c r="P202" s="358"/>
      <c r="Q202" s="358"/>
      <c r="R202" s="173"/>
    </row>
    <row r="203" spans="1:18" ht="15.75" hidden="1">
      <c r="A203" s="173"/>
      <c r="B203" s="173"/>
      <c r="C203" s="173"/>
      <c r="D203" s="173"/>
      <c r="E203" s="173"/>
      <c r="F203" s="173"/>
      <c r="G203" s="173"/>
      <c r="H203" s="173"/>
      <c r="I203" s="173"/>
      <c r="J203" s="358"/>
      <c r="K203" s="358"/>
      <c r="L203" s="358"/>
      <c r="M203" s="358"/>
      <c r="N203" s="358"/>
      <c r="O203" s="358"/>
      <c r="P203" s="358"/>
      <c r="Q203" s="358"/>
      <c r="R203" s="173"/>
    </row>
    <row r="204" spans="1:18" ht="15.75" hidden="1">
      <c r="A204" s="173"/>
      <c r="B204" s="173"/>
      <c r="C204" s="173"/>
      <c r="D204" s="173"/>
      <c r="E204" s="173"/>
      <c r="F204" s="173"/>
      <c r="G204" s="173"/>
      <c r="H204" s="173"/>
      <c r="I204" s="173"/>
      <c r="J204" s="358"/>
      <c r="K204" s="358"/>
      <c r="L204" s="358"/>
      <c r="M204" s="358"/>
      <c r="N204" s="358"/>
      <c r="O204" s="358"/>
      <c r="P204" s="358"/>
      <c r="Q204" s="358"/>
      <c r="R204" s="173"/>
    </row>
    <row r="205" spans="1:18" ht="15.75" hidden="1">
      <c r="A205" s="173"/>
      <c r="B205" s="173"/>
      <c r="C205" s="173"/>
      <c r="D205" s="173"/>
      <c r="E205" s="173"/>
      <c r="F205" s="173"/>
      <c r="G205" s="173"/>
      <c r="H205" s="173"/>
      <c r="I205" s="173"/>
      <c r="J205" s="358"/>
      <c r="K205" s="358"/>
      <c r="L205" s="358"/>
      <c r="M205" s="358"/>
      <c r="N205" s="358"/>
      <c r="O205" s="358"/>
      <c r="P205" s="358"/>
      <c r="Q205" s="358"/>
      <c r="R205" s="173"/>
    </row>
    <row r="206" spans="1:18" ht="15.75">
      <c r="A206" s="173"/>
      <c r="B206" s="173"/>
      <c r="C206" s="173"/>
      <c r="D206" s="173"/>
      <c r="E206" s="173"/>
      <c r="F206" s="173"/>
      <c r="G206" s="173"/>
      <c r="H206" s="173"/>
      <c r="I206" s="173"/>
      <c r="J206" s="358"/>
      <c r="K206" s="358"/>
      <c r="L206" s="358"/>
      <c r="M206" s="358"/>
      <c r="N206" s="358"/>
      <c r="O206" s="358"/>
      <c r="P206" s="358"/>
      <c r="Q206" s="358"/>
      <c r="R206" s="173"/>
    </row>
    <row r="207" spans="1:18" ht="15.75">
      <c r="A207" s="173"/>
      <c r="B207" s="173"/>
      <c r="C207" s="173"/>
      <c r="D207" s="173"/>
      <c r="E207" s="173"/>
      <c r="F207" s="173"/>
      <c r="G207" s="173"/>
      <c r="H207" s="173"/>
      <c r="I207" s="173"/>
      <c r="J207" s="200" t="s">
        <v>359</v>
      </c>
      <c r="K207" s="200"/>
      <c r="L207" s="200"/>
      <c r="M207" s="200"/>
      <c r="N207" s="200"/>
      <c r="O207" s="200"/>
      <c r="P207" s="200"/>
      <c r="Q207" s="200"/>
      <c r="R207" s="200"/>
    </row>
    <row r="208" spans="1:18" ht="15.75">
      <c r="A208" s="173"/>
      <c r="B208" s="512" t="s">
        <v>369</v>
      </c>
      <c r="C208" s="512"/>
      <c r="D208" s="512"/>
      <c r="E208" s="512"/>
      <c r="F208" s="512"/>
      <c r="G208" s="512"/>
      <c r="H208" s="512"/>
      <c r="I208" s="173"/>
      <c r="J208" s="487" t="s">
        <v>134</v>
      </c>
      <c r="K208" s="487"/>
      <c r="L208" s="487"/>
      <c r="M208" s="487"/>
      <c r="N208" s="487"/>
      <c r="O208" s="487"/>
      <c r="P208" s="358"/>
      <c r="Q208" s="358"/>
      <c r="R208" s="173"/>
    </row>
    <row r="209" spans="1:18" ht="18.75">
      <c r="A209" s="173"/>
      <c r="B209" s="501" t="s">
        <v>51</v>
      </c>
      <c r="C209" s="501"/>
      <c r="D209" s="501"/>
      <c r="E209" s="501"/>
      <c r="F209" s="501"/>
      <c r="G209" s="501"/>
      <c r="H209" s="501"/>
      <c r="I209" s="173"/>
      <c r="J209" s="487" t="s">
        <v>381</v>
      </c>
      <c r="K209" s="487"/>
      <c r="L209" s="487"/>
      <c r="M209" s="487"/>
      <c r="N209" s="487"/>
      <c r="O209" s="487"/>
      <c r="P209" s="358"/>
      <c r="Q209" s="358"/>
      <c r="R209" s="173"/>
    </row>
    <row r="210" spans="1:18" ht="15.75">
      <c r="A210" s="173"/>
      <c r="B210" s="505" t="s">
        <v>16</v>
      </c>
      <c r="C210" s="505"/>
      <c r="D210" s="505"/>
      <c r="E210" s="505"/>
      <c r="F210" s="505"/>
      <c r="G210" s="505"/>
      <c r="H210" s="505"/>
      <c r="I210" s="173"/>
      <c r="J210" s="156"/>
      <c r="K210" s="156"/>
      <c r="L210" s="156"/>
      <c r="M210" s="156"/>
      <c r="N210" s="156"/>
      <c r="O210" s="156"/>
      <c r="P210" s="156"/>
      <c r="Q210" s="156"/>
      <c r="R210" s="173"/>
    </row>
    <row r="211" spans="1:18" ht="15.75">
      <c r="A211" s="173"/>
      <c r="B211" s="173"/>
      <c r="C211" s="173"/>
      <c r="D211" s="173"/>
      <c r="E211" s="173"/>
      <c r="F211" s="173"/>
      <c r="G211" s="173"/>
      <c r="H211" s="173"/>
      <c r="I211" s="173"/>
      <c r="J211" s="156"/>
      <c r="K211" s="156"/>
      <c r="L211" s="156"/>
      <c r="M211" s="156"/>
      <c r="N211" s="156"/>
      <c r="O211" s="156"/>
      <c r="P211" s="156"/>
      <c r="Q211" s="156"/>
      <c r="R211" s="173"/>
    </row>
    <row r="212" spans="1:18" ht="15.75">
      <c r="A212" s="173"/>
      <c r="B212" s="173"/>
      <c r="C212" s="173"/>
      <c r="D212" s="173"/>
      <c r="E212" s="173"/>
      <c r="F212" s="173"/>
      <c r="G212" s="173"/>
      <c r="H212" s="173"/>
      <c r="I212" s="173"/>
      <c r="J212" s="156"/>
      <c r="K212" s="156"/>
      <c r="L212" s="156"/>
      <c r="M212" s="156"/>
      <c r="N212" s="156"/>
      <c r="O212" s="156"/>
      <c r="P212" s="156"/>
      <c r="Q212" s="156"/>
      <c r="R212" s="173"/>
    </row>
    <row r="213" spans="1:18" ht="15.75">
      <c r="A213" s="173"/>
      <c r="B213" s="173"/>
      <c r="C213" s="173"/>
      <c r="D213" s="173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  <c r="R213" s="173"/>
    </row>
    <row r="214" spans="1:18" ht="12.75" customHeight="1">
      <c r="A214" s="502" t="s">
        <v>1</v>
      </c>
      <c r="B214" s="202" t="s">
        <v>2</v>
      </c>
      <c r="C214" s="203" t="s">
        <v>4</v>
      </c>
      <c r="D214" s="504" t="s">
        <v>321</v>
      </c>
      <c r="E214" s="504" t="s">
        <v>322</v>
      </c>
      <c r="F214" s="496" t="s">
        <v>7</v>
      </c>
      <c r="G214" s="497"/>
      <c r="H214" s="497"/>
      <c r="I214" s="205"/>
      <c r="J214" s="205"/>
      <c r="K214" s="205"/>
      <c r="L214" s="205" t="s">
        <v>8</v>
      </c>
      <c r="M214" s="205"/>
      <c r="N214" s="385"/>
      <c r="O214" s="202" t="s">
        <v>10</v>
      </c>
      <c r="P214" s="493" t="s">
        <v>339</v>
      </c>
      <c r="Q214" s="473" t="s">
        <v>340</v>
      </c>
      <c r="R214" s="203" t="s">
        <v>13</v>
      </c>
    </row>
    <row r="215" spans="1:18" ht="12.75" customHeight="1">
      <c r="A215" s="503"/>
      <c r="B215" s="209" t="s">
        <v>3</v>
      </c>
      <c r="C215" s="209" t="s">
        <v>5</v>
      </c>
      <c r="D215" s="504"/>
      <c r="E215" s="504"/>
      <c r="F215" s="485" t="s">
        <v>18</v>
      </c>
      <c r="G215" s="489"/>
      <c r="H215" s="485" t="s">
        <v>267</v>
      </c>
      <c r="I215" s="485" t="s">
        <v>74</v>
      </c>
      <c r="J215" s="485"/>
      <c r="K215" s="489" t="s">
        <v>92</v>
      </c>
      <c r="L215" s="490"/>
      <c r="M215" s="479"/>
      <c r="N215" s="479"/>
      <c r="O215" s="209" t="s">
        <v>11</v>
      </c>
      <c r="P215" s="494"/>
      <c r="Q215" s="474"/>
      <c r="R215" s="210" t="s">
        <v>11</v>
      </c>
    </row>
    <row r="216" spans="1:18" ht="15.75">
      <c r="A216" s="503"/>
      <c r="B216" s="209"/>
      <c r="C216" s="209" t="s">
        <v>6</v>
      </c>
      <c r="D216" s="504"/>
      <c r="E216" s="504"/>
      <c r="F216" s="480"/>
      <c r="G216" s="483"/>
      <c r="H216" s="480"/>
      <c r="I216" s="480"/>
      <c r="J216" s="480"/>
      <c r="K216" s="483"/>
      <c r="L216" s="480"/>
      <c r="M216" s="480"/>
      <c r="N216" s="480"/>
      <c r="O216" s="363" t="s">
        <v>12</v>
      </c>
      <c r="P216" s="494"/>
      <c r="Q216" s="474"/>
      <c r="R216" s="210" t="s">
        <v>14</v>
      </c>
    </row>
    <row r="217" spans="1:18" ht="15.75">
      <c r="A217" s="208"/>
      <c r="B217" s="209"/>
      <c r="C217" s="209"/>
      <c r="D217" s="504"/>
      <c r="E217" s="504"/>
      <c r="F217" s="480"/>
      <c r="G217" s="483"/>
      <c r="H217" s="480"/>
      <c r="I217" s="480"/>
      <c r="J217" s="480"/>
      <c r="K217" s="483"/>
      <c r="L217" s="480"/>
      <c r="M217" s="480"/>
      <c r="N217" s="480"/>
      <c r="O217" s="363" t="s">
        <v>115</v>
      </c>
      <c r="P217" s="494"/>
      <c r="Q217" s="474"/>
      <c r="R217" s="210" t="s">
        <v>115</v>
      </c>
    </row>
    <row r="218" spans="1:29" ht="80.25" customHeight="1">
      <c r="A218" s="212"/>
      <c r="B218" s="214"/>
      <c r="C218" s="214"/>
      <c r="D218" s="504"/>
      <c r="E218" s="504"/>
      <c r="F218" s="481"/>
      <c r="G218" s="484"/>
      <c r="H218" s="481"/>
      <c r="I218" s="481"/>
      <c r="J218" s="481"/>
      <c r="K218" s="484"/>
      <c r="L218" s="481"/>
      <c r="M218" s="481"/>
      <c r="N218" s="481"/>
      <c r="O218" s="213"/>
      <c r="P218" s="495"/>
      <c r="Q218" s="475"/>
      <c r="R218" s="216"/>
      <c r="AC218" s="16">
        <f>F219+F159</f>
        <v>12168.960000000003</v>
      </c>
    </row>
    <row r="219" spans="1:18" ht="31.5">
      <c r="A219" s="217">
        <v>1</v>
      </c>
      <c r="B219" s="386" t="s">
        <v>163</v>
      </c>
      <c r="C219" s="219">
        <v>1</v>
      </c>
      <c r="D219" s="220">
        <v>3392</v>
      </c>
      <c r="E219" s="221">
        <v>12</v>
      </c>
      <c r="F219" s="222">
        <f>(D219+J219+K219)*10%</f>
        <v>407.04</v>
      </c>
      <c r="G219" s="222"/>
      <c r="H219" s="222">
        <f>(D219*C219+K219)*5%</f>
        <v>203.52</v>
      </c>
      <c r="I219" s="222"/>
      <c r="J219" s="222"/>
      <c r="K219" s="170">
        <f>(D219)*20%</f>
        <v>678.4000000000001</v>
      </c>
      <c r="L219" s="222"/>
      <c r="M219" s="222"/>
      <c r="N219" s="222"/>
      <c r="O219" s="387">
        <f>D219*C219+F219+H219+I219+J219+K219+L219+M219+N219+G219</f>
        <v>4680.96</v>
      </c>
      <c r="P219" s="387"/>
      <c r="Q219" s="387">
        <f>O219+P219</f>
        <v>4680.96</v>
      </c>
      <c r="R219" s="387">
        <f>O219*12</f>
        <v>56171.520000000004</v>
      </c>
    </row>
    <row r="220" spans="1:18" ht="15.75">
      <c r="A220" s="161"/>
      <c r="B220" s="388"/>
      <c r="C220" s="161"/>
      <c r="D220" s="220"/>
      <c r="E220" s="220"/>
      <c r="F220" s="222"/>
      <c r="G220" s="222"/>
      <c r="H220" s="170"/>
      <c r="I220" s="170"/>
      <c r="J220" s="170"/>
      <c r="K220" s="170"/>
      <c r="L220" s="170"/>
      <c r="M220" s="170"/>
      <c r="N220" s="170"/>
      <c r="O220" s="387"/>
      <c r="P220" s="387"/>
      <c r="Q220" s="387"/>
      <c r="R220" s="387"/>
    </row>
    <row r="221" spans="1:18" ht="15.75" hidden="1">
      <c r="A221" s="161"/>
      <c r="B221" s="388"/>
      <c r="C221" s="161"/>
      <c r="D221" s="230"/>
      <c r="E221" s="230"/>
      <c r="F221" s="161"/>
      <c r="G221" s="161"/>
      <c r="H221" s="170"/>
      <c r="I221" s="170"/>
      <c r="J221" s="170"/>
      <c r="K221" s="170"/>
      <c r="L221" s="170"/>
      <c r="M221" s="170"/>
      <c r="N221" s="170"/>
      <c r="O221" s="216"/>
      <c r="P221" s="216"/>
      <c r="Q221" s="216"/>
      <c r="R221" s="216"/>
    </row>
    <row r="222" spans="1:24" ht="15.75">
      <c r="A222" s="161"/>
      <c r="B222" s="388" t="s">
        <v>52</v>
      </c>
      <c r="C222" s="225">
        <f aca="true" t="shared" si="18" ref="C222:R222">SUM(C219:C221)</f>
        <v>1</v>
      </c>
      <c r="D222" s="230">
        <f>D219+D220</f>
        <v>3392</v>
      </c>
      <c r="E222" s="230"/>
      <c r="F222" s="170">
        <f t="shared" si="18"/>
        <v>407.04</v>
      </c>
      <c r="G222" s="170">
        <f t="shared" si="18"/>
        <v>0</v>
      </c>
      <c r="H222" s="170">
        <f t="shared" si="18"/>
        <v>203.52</v>
      </c>
      <c r="I222" s="170">
        <f t="shared" si="18"/>
        <v>0</v>
      </c>
      <c r="J222" s="170">
        <f t="shared" si="18"/>
        <v>0</v>
      </c>
      <c r="K222" s="170">
        <f t="shared" si="18"/>
        <v>678.4000000000001</v>
      </c>
      <c r="L222" s="170">
        <f t="shared" si="18"/>
        <v>0</v>
      </c>
      <c r="M222" s="170">
        <f t="shared" si="18"/>
        <v>0</v>
      </c>
      <c r="N222" s="170">
        <f t="shared" si="18"/>
        <v>0</v>
      </c>
      <c r="O222" s="170">
        <f>SUM(O219:O221)</f>
        <v>4680.96</v>
      </c>
      <c r="P222" s="170">
        <f>SUM(P219:P221)</f>
        <v>0</v>
      </c>
      <c r="Q222" s="170">
        <f>SUM(Q219:Q221)</f>
        <v>4680.96</v>
      </c>
      <c r="R222" s="170">
        <f t="shared" si="18"/>
        <v>56171.520000000004</v>
      </c>
      <c r="X222" s="312">
        <f>Q222+Q159</f>
        <v>80688.99200000001</v>
      </c>
    </row>
    <row r="223" spans="1:24" ht="15.75">
      <c r="A223" s="161"/>
      <c r="B223" s="388"/>
      <c r="C223" s="161"/>
      <c r="D223" s="161"/>
      <c r="E223" s="161"/>
      <c r="F223" s="161"/>
      <c r="G223" s="161"/>
      <c r="H223" s="170"/>
      <c r="I223" s="170"/>
      <c r="J223" s="170"/>
      <c r="K223" s="170"/>
      <c r="L223" s="170"/>
      <c r="M223" s="170"/>
      <c r="N223" s="170"/>
      <c r="O223" s="216"/>
      <c r="P223" s="216"/>
      <c r="Q223" s="216"/>
      <c r="R223" s="216"/>
      <c r="X223" s="172"/>
    </row>
    <row r="224" spans="1:18" ht="15.75">
      <c r="A224" s="161"/>
      <c r="B224" s="388"/>
      <c r="C224" s="161"/>
      <c r="D224" s="161"/>
      <c r="E224" s="161"/>
      <c r="F224" s="161"/>
      <c r="G224" s="161"/>
      <c r="H224" s="161"/>
      <c r="I224" s="161"/>
      <c r="J224" s="161"/>
      <c r="K224" s="161"/>
      <c r="L224" s="161"/>
      <c r="M224" s="161"/>
      <c r="N224" s="161"/>
      <c r="O224" s="216"/>
      <c r="P224" s="216"/>
      <c r="Q224" s="216"/>
      <c r="R224" s="216"/>
    </row>
    <row r="225" spans="1:24" ht="15.75">
      <c r="A225" s="156"/>
      <c r="B225" s="389"/>
      <c r="C225" s="156"/>
      <c r="D225" s="156"/>
      <c r="E225" s="156"/>
      <c r="F225" s="156"/>
      <c r="G225" s="156"/>
      <c r="H225" s="156"/>
      <c r="I225" s="156"/>
      <c r="J225" s="156"/>
      <c r="K225" s="156"/>
      <c r="L225" s="156"/>
      <c r="M225" s="156"/>
      <c r="N225" s="156"/>
      <c r="O225" s="152"/>
      <c r="P225" s="152"/>
      <c r="Q225" s="152"/>
      <c r="R225" s="152"/>
      <c r="X225" s="16"/>
    </row>
    <row r="226" spans="1:18" ht="15.75">
      <c r="A226" s="156"/>
      <c r="B226" s="389"/>
      <c r="C226" s="156"/>
      <c r="D226" s="156"/>
      <c r="E226" s="156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56"/>
    </row>
    <row r="227" spans="1:18" ht="12.75" customHeight="1">
      <c r="A227" s="173"/>
      <c r="B227" s="173"/>
      <c r="C227" s="173"/>
      <c r="D227" s="173"/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  <c r="O227" s="289"/>
      <c r="P227" s="289"/>
      <c r="Q227" s="289"/>
      <c r="R227" s="173"/>
    </row>
    <row r="228" spans="1:18" ht="15.75">
      <c r="A228" s="173"/>
      <c r="B228" s="173"/>
      <c r="C228" s="173"/>
      <c r="D228" s="173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  <c r="R228" s="173"/>
    </row>
    <row r="229" spans="1:22" ht="37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18" ht="14.25" customHeight="1">
      <c r="A230" s="172"/>
      <c r="B230" s="172"/>
      <c r="C230" s="200" t="s">
        <v>371</v>
      </c>
      <c r="D230" s="200"/>
      <c r="E230" s="200"/>
      <c r="F230" s="200"/>
      <c r="G230" s="200"/>
      <c r="H230" s="200"/>
      <c r="I230" s="200"/>
      <c r="J230" s="200"/>
      <c r="K230" s="198" t="s">
        <v>372</v>
      </c>
      <c r="L230" s="198"/>
      <c r="M230" s="198"/>
      <c r="N230" s="198"/>
      <c r="O230" s="172"/>
      <c r="P230" s="172"/>
      <c r="Q230" s="172"/>
      <c r="R230" s="172"/>
    </row>
    <row r="231" spans="1:18" ht="18.75">
      <c r="A231" s="198"/>
      <c r="B231" s="232"/>
      <c r="C231" s="232"/>
      <c r="D231" s="232"/>
      <c r="E231" s="232"/>
      <c r="F231" s="232"/>
      <c r="G231" s="232"/>
      <c r="H231" s="232"/>
      <c r="I231" s="232"/>
      <c r="J231" s="232"/>
      <c r="K231" s="232"/>
      <c r="L231" s="232"/>
      <c r="M231" s="232"/>
      <c r="N231" s="198"/>
      <c r="O231" s="198"/>
      <c r="P231" s="198"/>
      <c r="Q231" s="198"/>
      <c r="R231" s="198"/>
    </row>
    <row r="232" spans="1:18" ht="15.75">
      <c r="A232" s="172"/>
      <c r="B232" s="172"/>
      <c r="C232" s="173"/>
      <c r="D232" s="172"/>
      <c r="E232" s="172"/>
      <c r="F232" s="172"/>
      <c r="G232" s="172"/>
      <c r="H232" s="172"/>
      <c r="I232" s="172"/>
      <c r="J232" s="173"/>
      <c r="K232" s="172"/>
      <c r="L232" s="172"/>
      <c r="M232" s="172"/>
      <c r="N232" s="172"/>
      <c r="O232" s="172"/>
      <c r="P232" s="172"/>
      <c r="Q232" s="172"/>
      <c r="R232" s="172"/>
    </row>
    <row r="233" spans="1:18" ht="15">
      <c r="A233" s="469"/>
      <c r="B233" s="469"/>
      <c r="C233" s="469"/>
      <c r="D233" s="469"/>
      <c r="E233" s="469"/>
      <c r="F233" s="469"/>
      <c r="G233" s="469"/>
      <c r="H233" s="469"/>
      <c r="I233" s="469"/>
      <c r="J233" s="469"/>
      <c r="K233" s="469"/>
      <c r="L233" s="469"/>
      <c r="M233" s="469"/>
      <c r="N233" s="469"/>
      <c r="O233" s="469"/>
      <c r="P233" s="469"/>
      <c r="Q233" s="469"/>
      <c r="R233" s="469"/>
    </row>
    <row r="234" spans="1:18" ht="15">
      <c r="A234" s="172"/>
      <c r="B234" s="418" t="s">
        <v>368</v>
      </c>
      <c r="C234" s="172"/>
      <c r="D234" s="172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</row>
    <row r="235" ht="15">
      <c r="B235" s="194">
        <v>42041</v>
      </c>
    </row>
    <row r="236" spans="1:18" ht="15.75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</row>
    <row r="243" ht="20.25">
      <c r="H243" s="196"/>
    </row>
    <row r="244" spans="1:18" ht="15">
      <c r="A244" s="172"/>
      <c r="B244" s="172"/>
      <c r="C244" s="172"/>
      <c r="D244" s="172"/>
      <c r="E244" s="172"/>
      <c r="F244" s="172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  <c r="R244" s="172"/>
    </row>
    <row r="245" spans="1:18" ht="15.75">
      <c r="A245" s="173"/>
      <c r="B245" s="173"/>
      <c r="C245" s="173"/>
      <c r="D245" s="173"/>
      <c r="E245" s="173"/>
      <c r="F245" s="173"/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73"/>
      <c r="R245" s="173"/>
    </row>
    <row r="246" spans="1:18" ht="15.75">
      <c r="A246" s="173"/>
      <c r="B246" s="173"/>
      <c r="C246" s="173"/>
      <c r="D246" s="173"/>
      <c r="E246" s="173"/>
      <c r="F246" s="173"/>
      <c r="G246" s="173"/>
      <c r="H246" s="173"/>
      <c r="I246" s="173"/>
      <c r="J246" s="487" t="s">
        <v>139</v>
      </c>
      <c r="K246" s="487"/>
      <c r="L246" s="487"/>
      <c r="M246" s="487"/>
      <c r="N246" s="487"/>
      <c r="O246" s="487"/>
      <c r="P246" s="358"/>
      <c r="Q246" s="358"/>
      <c r="R246" s="173"/>
    </row>
    <row r="247" spans="1:18" ht="15.75">
      <c r="A247" s="173"/>
      <c r="B247" s="173"/>
      <c r="C247" s="173"/>
      <c r="D247" s="173"/>
      <c r="E247" s="173"/>
      <c r="F247" s="173"/>
      <c r="G247" s="173"/>
      <c r="H247" s="173"/>
      <c r="I247" s="173"/>
      <c r="J247" s="200" t="s">
        <v>359</v>
      </c>
      <c r="K247" s="200"/>
      <c r="L247" s="200"/>
      <c r="M247" s="200"/>
      <c r="N247" s="200"/>
      <c r="O247" s="200"/>
      <c r="P247" s="200"/>
      <c r="Q247" s="200"/>
      <c r="R247" s="173"/>
    </row>
    <row r="248" spans="1:18" ht="15.75">
      <c r="A248" s="173"/>
      <c r="B248" s="173"/>
      <c r="C248" s="173"/>
      <c r="D248" s="173"/>
      <c r="E248" s="173"/>
      <c r="F248" s="173"/>
      <c r="G248" s="173"/>
      <c r="H248" s="173"/>
      <c r="I248" s="173"/>
      <c r="J248" s="358" t="s">
        <v>247</v>
      </c>
      <c r="K248" s="358"/>
      <c r="L248" s="358"/>
      <c r="M248" s="358"/>
      <c r="N248" s="358"/>
      <c r="O248" s="358"/>
      <c r="P248" s="358"/>
      <c r="Q248" s="358"/>
      <c r="R248" s="200"/>
    </row>
    <row r="249" spans="1:18" ht="15.75">
      <c r="A249" s="173"/>
      <c r="B249" s="512" t="s">
        <v>369</v>
      </c>
      <c r="C249" s="512"/>
      <c r="D249" s="512"/>
      <c r="E249" s="512"/>
      <c r="F249" s="512"/>
      <c r="G249" s="512"/>
      <c r="H249" s="512"/>
      <c r="I249" s="173"/>
      <c r="J249" s="487" t="s">
        <v>402</v>
      </c>
      <c r="K249" s="487"/>
      <c r="L249" s="487"/>
      <c r="M249" s="487"/>
      <c r="N249" s="487"/>
      <c r="O249" s="487"/>
      <c r="P249" s="358"/>
      <c r="Q249" s="358"/>
      <c r="R249" s="173"/>
    </row>
    <row r="250" spans="1:18" ht="18.75">
      <c r="A250" s="173"/>
      <c r="B250" s="501" t="s">
        <v>103</v>
      </c>
      <c r="C250" s="501"/>
      <c r="D250" s="501"/>
      <c r="E250" s="501"/>
      <c r="F250" s="501"/>
      <c r="G250" s="501"/>
      <c r="H250" s="501"/>
      <c r="I250" s="173"/>
      <c r="J250" s="487"/>
      <c r="K250" s="487"/>
      <c r="L250" s="487"/>
      <c r="M250" s="487"/>
      <c r="N250" s="487"/>
      <c r="O250" s="487"/>
      <c r="P250" s="358"/>
      <c r="Q250" s="358"/>
      <c r="R250" s="173"/>
    </row>
    <row r="251" spans="1:18" ht="15.75">
      <c r="A251" s="173"/>
      <c r="B251" s="505" t="s">
        <v>16</v>
      </c>
      <c r="C251" s="505"/>
      <c r="D251" s="505"/>
      <c r="E251" s="505"/>
      <c r="F251" s="505"/>
      <c r="G251" s="505"/>
      <c r="H251" s="505"/>
      <c r="I251" s="173"/>
      <c r="J251" s="156"/>
      <c r="K251" s="156"/>
      <c r="L251" s="156"/>
      <c r="M251" s="156"/>
      <c r="N251" s="156"/>
      <c r="O251" s="156"/>
      <c r="P251" s="156"/>
      <c r="Q251" s="156"/>
      <c r="R251" s="173"/>
    </row>
    <row r="252" spans="1:18" ht="15.75">
      <c r="A252" s="173"/>
      <c r="B252" s="173"/>
      <c r="C252" s="173"/>
      <c r="D252" s="173"/>
      <c r="E252" s="173"/>
      <c r="F252" s="173"/>
      <c r="G252" s="173"/>
      <c r="H252" s="173"/>
      <c r="I252" s="173"/>
      <c r="J252" s="156"/>
      <c r="K252" s="156"/>
      <c r="L252" s="156"/>
      <c r="M252" s="156"/>
      <c r="N252" s="156"/>
      <c r="O252" s="156"/>
      <c r="P252" s="156"/>
      <c r="Q252" s="156"/>
      <c r="R252" s="173"/>
    </row>
    <row r="253" spans="1:22" ht="15.75">
      <c r="A253" s="173"/>
      <c r="B253" s="173" t="s">
        <v>255</v>
      </c>
      <c r="C253" s="173"/>
      <c r="D253" s="173"/>
      <c r="E253" s="173"/>
      <c r="F253" s="173"/>
      <c r="G253" s="173"/>
      <c r="H253" s="173"/>
      <c r="I253" s="173"/>
      <c r="J253" s="173"/>
      <c r="K253" s="173"/>
      <c r="L253" s="173"/>
      <c r="M253" s="173"/>
      <c r="N253" s="173"/>
      <c r="O253" s="173"/>
      <c r="P253" s="173"/>
      <c r="Q253" s="173"/>
      <c r="R253" s="173"/>
      <c r="V253" s="3" t="s">
        <v>157</v>
      </c>
    </row>
    <row r="254" spans="1:22" ht="15.75">
      <c r="A254" s="173"/>
      <c r="B254" s="173"/>
      <c r="C254" s="173"/>
      <c r="D254" s="173"/>
      <c r="E254" s="173"/>
      <c r="F254" s="173"/>
      <c r="G254" s="173"/>
      <c r="H254" s="173"/>
      <c r="I254" s="173"/>
      <c r="J254" s="173"/>
      <c r="K254" s="173"/>
      <c r="L254" s="173"/>
      <c r="M254" s="173"/>
      <c r="N254" s="173"/>
      <c r="O254" s="173"/>
      <c r="P254" s="173"/>
      <c r="Q254" s="173"/>
      <c r="R254" s="173"/>
      <c r="V254" s="16">
        <f>F275+H275+I275+J275+K275+L275+M275+N275</f>
        <v>6094.72</v>
      </c>
    </row>
    <row r="255" spans="1:18" ht="12.75" customHeight="1">
      <c r="A255" s="502" t="s">
        <v>1</v>
      </c>
      <c r="B255" s="202" t="s">
        <v>2</v>
      </c>
      <c r="C255" s="203" t="s">
        <v>4</v>
      </c>
      <c r="D255" s="504" t="s">
        <v>321</v>
      </c>
      <c r="E255" s="504" t="s">
        <v>322</v>
      </c>
      <c r="F255" s="379" t="s">
        <v>7</v>
      </c>
      <c r="G255" s="379"/>
      <c r="H255" s="574" t="s">
        <v>8</v>
      </c>
      <c r="I255" s="574"/>
      <c r="J255" s="574"/>
      <c r="K255" s="574"/>
      <c r="L255" s="515"/>
      <c r="M255" s="515"/>
      <c r="N255" s="496"/>
      <c r="O255" s="202" t="s">
        <v>10</v>
      </c>
      <c r="P255" s="493" t="s">
        <v>339</v>
      </c>
      <c r="Q255" s="473" t="s">
        <v>340</v>
      </c>
      <c r="R255" s="203" t="s">
        <v>13</v>
      </c>
    </row>
    <row r="256" spans="1:18" ht="12.75" customHeight="1">
      <c r="A256" s="503"/>
      <c r="B256" s="209" t="s">
        <v>3</v>
      </c>
      <c r="C256" s="209" t="s">
        <v>5</v>
      </c>
      <c r="D256" s="504"/>
      <c r="E256" s="504"/>
      <c r="F256" s="485" t="s">
        <v>18</v>
      </c>
      <c r="G256" s="361"/>
      <c r="H256" s="485"/>
      <c r="I256" s="485"/>
      <c r="J256" s="485"/>
      <c r="K256" s="485"/>
      <c r="L256" s="557" t="s">
        <v>113</v>
      </c>
      <c r="M256" s="482"/>
      <c r="N256" s="489" t="s">
        <v>114</v>
      </c>
      <c r="O256" s="209" t="s">
        <v>11</v>
      </c>
      <c r="P256" s="494"/>
      <c r="Q256" s="474"/>
      <c r="R256" s="210" t="s">
        <v>11</v>
      </c>
    </row>
    <row r="257" spans="1:18" ht="15.75">
      <c r="A257" s="503"/>
      <c r="B257" s="209"/>
      <c r="C257" s="209" t="s">
        <v>6</v>
      </c>
      <c r="D257" s="504"/>
      <c r="E257" s="504"/>
      <c r="F257" s="480"/>
      <c r="G257" s="362"/>
      <c r="H257" s="480"/>
      <c r="I257" s="480"/>
      <c r="J257" s="480"/>
      <c r="K257" s="480"/>
      <c r="L257" s="558"/>
      <c r="M257" s="483"/>
      <c r="N257" s="483"/>
      <c r="O257" s="363" t="s">
        <v>12</v>
      </c>
      <c r="P257" s="494"/>
      <c r="Q257" s="474"/>
      <c r="R257" s="210" t="s">
        <v>14</v>
      </c>
    </row>
    <row r="258" spans="1:18" ht="15.75">
      <c r="A258" s="208"/>
      <c r="B258" s="209"/>
      <c r="C258" s="209"/>
      <c r="D258" s="504"/>
      <c r="E258" s="504"/>
      <c r="F258" s="480"/>
      <c r="G258" s="362"/>
      <c r="H258" s="480"/>
      <c r="I258" s="480"/>
      <c r="J258" s="480"/>
      <c r="K258" s="480"/>
      <c r="L258" s="558"/>
      <c r="M258" s="483"/>
      <c r="N258" s="483"/>
      <c r="O258" s="363" t="s">
        <v>115</v>
      </c>
      <c r="P258" s="494"/>
      <c r="Q258" s="474"/>
      <c r="R258" s="210" t="s">
        <v>115</v>
      </c>
    </row>
    <row r="259" spans="1:18" ht="39" customHeight="1">
      <c r="A259" s="212"/>
      <c r="B259" s="214"/>
      <c r="C259" s="214"/>
      <c r="D259" s="504"/>
      <c r="E259" s="504"/>
      <c r="F259" s="481"/>
      <c r="G259" s="364"/>
      <c r="H259" s="481"/>
      <c r="I259" s="481"/>
      <c r="J259" s="481"/>
      <c r="K259" s="481"/>
      <c r="L259" s="559"/>
      <c r="M259" s="484"/>
      <c r="N259" s="484"/>
      <c r="O259" s="213"/>
      <c r="P259" s="495"/>
      <c r="Q259" s="475"/>
      <c r="R259" s="216"/>
    </row>
    <row r="260" spans="1:18" ht="31.5">
      <c r="A260" s="217">
        <v>1</v>
      </c>
      <c r="B260" s="218" t="s">
        <v>207</v>
      </c>
      <c r="C260" s="216">
        <v>1</v>
      </c>
      <c r="D260" s="220">
        <v>4464</v>
      </c>
      <c r="E260" s="221">
        <v>16</v>
      </c>
      <c r="F260" s="222">
        <f>D260*30%</f>
        <v>1339.2</v>
      </c>
      <c r="G260" s="222"/>
      <c r="H260" s="380"/>
      <c r="I260" s="380"/>
      <c r="J260" s="370"/>
      <c r="K260" s="370"/>
      <c r="L260" s="370"/>
      <c r="M260" s="370"/>
      <c r="N260" s="370"/>
      <c r="O260" s="223">
        <f>D260*C260+F260+H260+I260+J260+K260+L260+M260+N260</f>
        <v>5803.2</v>
      </c>
      <c r="P260" s="223"/>
      <c r="Q260" s="223">
        <f>O260+P260</f>
        <v>5803.2</v>
      </c>
      <c r="R260" s="223">
        <f>O260*12</f>
        <v>69638.4</v>
      </c>
    </row>
    <row r="261" spans="1:25" ht="50.25" customHeight="1">
      <c r="A261" s="204">
        <v>2</v>
      </c>
      <c r="B261" s="374" t="s">
        <v>208</v>
      </c>
      <c r="C261" s="161">
        <v>1</v>
      </c>
      <c r="D261" s="440">
        <f>D260*90%</f>
        <v>4017.6</v>
      </c>
      <c r="E261" s="381" t="s">
        <v>132</v>
      </c>
      <c r="F261" s="222">
        <f>D261*20%</f>
        <v>803.52</v>
      </c>
      <c r="G261" s="222"/>
      <c r="H261" s="382"/>
      <c r="I261" s="382"/>
      <c r="J261" s="161"/>
      <c r="K261" s="161"/>
      <c r="L261" s="161"/>
      <c r="M261" s="161"/>
      <c r="N261" s="161"/>
      <c r="O261" s="223">
        <f>D261*C261+F261+H261+I261+J261+K261+L261+M261+N261</f>
        <v>4821.12</v>
      </c>
      <c r="P261" s="223"/>
      <c r="Q261" s="223">
        <f aca="true" t="shared" si="19" ref="Q261:Q268">O261+P261</f>
        <v>4821.12</v>
      </c>
      <c r="R261" s="223">
        <f>O261*12</f>
        <v>57853.44</v>
      </c>
      <c r="Y261" s="16">
        <f>D260+D261</f>
        <v>8481.6</v>
      </c>
    </row>
    <row r="262" spans="1:19" ht="15.75">
      <c r="A262" s="204">
        <v>3</v>
      </c>
      <c r="B262" s="161" t="s">
        <v>221</v>
      </c>
      <c r="C262" s="161">
        <v>1</v>
      </c>
      <c r="D262" s="220">
        <v>2320</v>
      </c>
      <c r="E262" s="221">
        <v>6</v>
      </c>
      <c r="F262" s="170">
        <f>D262*20%</f>
        <v>464</v>
      </c>
      <c r="G262" s="161"/>
      <c r="H262" s="161"/>
      <c r="I262" s="161"/>
      <c r="J262" s="161"/>
      <c r="K262" s="161"/>
      <c r="L262" s="161"/>
      <c r="M262" s="161"/>
      <c r="N262" s="161"/>
      <c r="O262" s="223">
        <f aca="true" t="shared" si="20" ref="O262:O268">D262*C262+F262+H262+I262+J262+K262+L262+M262+N262</f>
        <v>2784</v>
      </c>
      <c r="P262" s="223">
        <f aca="true" t="shared" si="21" ref="P262:P268">3200*C262-(O262-N262-L262)</f>
        <v>416</v>
      </c>
      <c r="Q262" s="223">
        <f t="shared" si="19"/>
        <v>3200</v>
      </c>
      <c r="R262" s="223">
        <f aca="true" t="shared" si="22" ref="R262:R269">O262*12</f>
        <v>33408</v>
      </c>
      <c r="S262" s="16"/>
    </row>
    <row r="263" spans="1:19" ht="64.5" customHeight="1">
      <c r="A263" s="204">
        <v>4</v>
      </c>
      <c r="B263" s="374" t="s">
        <v>400</v>
      </c>
      <c r="C263" s="161">
        <v>1</v>
      </c>
      <c r="D263" s="220">
        <f>D260*85%</f>
        <v>3794.4</v>
      </c>
      <c r="E263" s="381" t="s">
        <v>401</v>
      </c>
      <c r="F263" s="161"/>
      <c r="G263" s="161"/>
      <c r="H263" s="161"/>
      <c r="I263" s="161"/>
      <c r="J263" s="161"/>
      <c r="K263" s="161"/>
      <c r="L263" s="161"/>
      <c r="M263" s="161"/>
      <c r="N263" s="161"/>
      <c r="O263" s="223">
        <f t="shared" si="20"/>
        <v>3794.4</v>
      </c>
      <c r="P263" s="223"/>
      <c r="Q263" s="223">
        <f t="shared" si="19"/>
        <v>3794.4</v>
      </c>
      <c r="R263" s="223">
        <f t="shared" si="22"/>
        <v>45532.8</v>
      </c>
      <c r="S263" s="3" t="s">
        <v>190</v>
      </c>
    </row>
    <row r="264" spans="1:25" ht="63">
      <c r="A264" s="204">
        <v>5</v>
      </c>
      <c r="B264" s="374" t="s">
        <v>182</v>
      </c>
      <c r="C264" s="161">
        <v>1</v>
      </c>
      <c r="D264" s="220">
        <v>2032</v>
      </c>
      <c r="E264" s="221">
        <v>4</v>
      </c>
      <c r="F264" s="161"/>
      <c r="G264" s="161"/>
      <c r="H264" s="161"/>
      <c r="I264" s="161"/>
      <c r="J264" s="161"/>
      <c r="K264" s="161"/>
      <c r="L264" s="161"/>
      <c r="M264" s="161"/>
      <c r="N264" s="161"/>
      <c r="O264" s="223">
        <f t="shared" si="20"/>
        <v>2032</v>
      </c>
      <c r="P264" s="223">
        <f t="shared" si="21"/>
        <v>1168</v>
      </c>
      <c r="Q264" s="223">
        <f t="shared" si="19"/>
        <v>3200</v>
      </c>
      <c r="R264" s="223">
        <f t="shared" si="22"/>
        <v>24384</v>
      </c>
      <c r="S264" s="16">
        <f>O263+O264+O265+O267+O268</f>
        <v>25442.4</v>
      </c>
      <c r="Y264" s="16"/>
    </row>
    <row r="265" spans="1:18" ht="15.75">
      <c r="A265" s="204">
        <v>6</v>
      </c>
      <c r="B265" s="161" t="s">
        <v>27</v>
      </c>
      <c r="C265" s="161">
        <v>4</v>
      </c>
      <c r="D265" s="220">
        <v>1744</v>
      </c>
      <c r="E265" s="221">
        <v>2</v>
      </c>
      <c r="F265" s="161"/>
      <c r="G265" s="161"/>
      <c r="H265" s="161"/>
      <c r="I265" s="161"/>
      <c r="J265" s="161"/>
      <c r="K265" s="161"/>
      <c r="L265" s="161"/>
      <c r="M265" s="161"/>
      <c r="N265" s="170">
        <f>D265*40%*C265</f>
        <v>2790.4</v>
      </c>
      <c r="O265" s="223">
        <f>D265*C265+F265+H265+I265+J265+K265+L265+M265+N265</f>
        <v>9766.4</v>
      </c>
      <c r="P265" s="223">
        <f t="shared" si="21"/>
        <v>5824</v>
      </c>
      <c r="Q265" s="223">
        <f t="shared" si="19"/>
        <v>15590.4</v>
      </c>
      <c r="R265" s="223">
        <f t="shared" si="22"/>
        <v>117196.79999999999</v>
      </c>
    </row>
    <row r="266" spans="1:19" ht="15.75" hidden="1">
      <c r="A266" s="204"/>
      <c r="B266" s="161"/>
      <c r="C266" s="161"/>
      <c r="D266" s="220"/>
      <c r="E266" s="405"/>
      <c r="F266" s="161"/>
      <c r="G266" s="161"/>
      <c r="H266" s="161"/>
      <c r="I266" s="161"/>
      <c r="J266" s="161"/>
      <c r="K266" s="161"/>
      <c r="L266" s="161"/>
      <c r="M266" s="161"/>
      <c r="N266" s="161"/>
      <c r="O266" s="223"/>
      <c r="P266" s="223">
        <f t="shared" si="21"/>
        <v>0</v>
      </c>
      <c r="Q266" s="223">
        <f t="shared" si="19"/>
        <v>0</v>
      </c>
      <c r="R266" s="223">
        <f t="shared" si="22"/>
        <v>0</v>
      </c>
      <c r="S266" s="3">
        <f>SUM(S263:S265)</f>
        <v>25442.4</v>
      </c>
    </row>
    <row r="267" spans="1:18" ht="31.5">
      <c r="A267" s="204">
        <v>7</v>
      </c>
      <c r="B267" s="374" t="s">
        <v>79</v>
      </c>
      <c r="C267" s="161">
        <v>4</v>
      </c>
      <c r="D267" s="220">
        <v>1744</v>
      </c>
      <c r="E267" s="221">
        <v>2</v>
      </c>
      <c r="F267" s="161"/>
      <c r="G267" s="161"/>
      <c r="H267" s="161"/>
      <c r="I267" s="161"/>
      <c r="J267" s="161"/>
      <c r="K267" s="161"/>
      <c r="L267" s="170">
        <f>D267*10%*C267</f>
        <v>697.6</v>
      </c>
      <c r="M267" s="161"/>
      <c r="N267" s="161"/>
      <c r="O267" s="223">
        <f>D267*C267+F267+H267+I267+J267+K267+L267+M267+N267</f>
        <v>7673.6</v>
      </c>
      <c r="P267" s="223">
        <f t="shared" si="21"/>
        <v>5824</v>
      </c>
      <c r="Q267" s="223">
        <f t="shared" si="19"/>
        <v>13497.6</v>
      </c>
      <c r="R267" s="223">
        <f t="shared" si="22"/>
        <v>92083.20000000001</v>
      </c>
    </row>
    <row r="268" spans="1:24" ht="15.75">
      <c r="A268" s="204">
        <v>8</v>
      </c>
      <c r="B268" s="161" t="s">
        <v>23</v>
      </c>
      <c r="C268" s="161">
        <v>1</v>
      </c>
      <c r="D268" s="220">
        <v>2176</v>
      </c>
      <c r="E268" s="221">
        <v>5</v>
      </c>
      <c r="F268" s="161"/>
      <c r="G268" s="161"/>
      <c r="H268" s="161"/>
      <c r="I268" s="161"/>
      <c r="J268" s="161"/>
      <c r="K268" s="161"/>
      <c r="L268" s="161"/>
      <c r="M268" s="161"/>
      <c r="N268" s="161"/>
      <c r="O268" s="223">
        <f t="shared" si="20"/>
        <v>2176</v>
      </c>
      <c r="P268" s="223">
        <f t="shared" si="21"/>
        <v>1024</v>
      </c>
      <c r="Q268" s="223">
        <f t="shared" si="19"/>
        <v>3200</v>
      </c>
      <c r="R268" s="223">
        <f t="shared" si="22"/>
        <v>26112</v>
      </c>
      <c r="X268" s="172"/>
    </row>
    <row r="269" spans="1:24" ht="15.75">
      <c r="A269" s="161"/>
      <c r="B269" s="224"/>
      <c r="C269" s="170"/>
      <c r="D269" s="161"/>
      <c r="E269" s="161"/>
      <c r="F269" s="161"/>
      <c r="G269" s="161"/>
      <c r="H269" s="161"/>
      <c r="I269" s="161"/>
      <c r="J269" s="161"/>
      <c r="K269" s="161"/>
      <c r="L269" s="161"/>
      <c r="M269" s="161"/>
      <c r="N269" s="161"/>
      <c r="O269" s="223"/>
      <c r="P269" s="223"/>
      <c r="Q269" s="223"/>
      <c r="R269" s="216">
        <f t="shared" si="22"/>
        <v>0</v>
      </c>
      <c r="X269" s="172"/>
    </row>
    <row r="270" spans="1:18" ht="15.75" hidden="1">
      <c r="A270" s="161"/>
      <c r="B270" s="161"/>
      <c r="C270" s="170"/>
      <c r="D270" s="161"/>
      <c r="E270" s="161"/>
      <c r="F270" s="161"/>
      <c r="G270" s="161"/>
      <c r="H270" s="161"/>
      <c r="I270" s="161"/>
      <c r="J270" s="161"/>
      <c r="K270" s="161"/>
      <c r="L270" s="161"/>
      <c r="M270" s="161"/>
      <c r="N270" s="161"/>
      <c r="O270" s="216"/>
      <c r="P270" s="216"/>
      <c r="Q270" s="216"/>
      <c r="R270" s="216"/>
    </row>
    <row r="271" spans="1:18" ht="15.75" hidden="1">
      <c r="A271" s="161"/>
      <c r="B271" s="161"/>
      <c r="C271" s="170"/>
      <c r="D271" s="161"/>
      <c r="E271" s="161"/>
      <c r="F271" s="161"/>
      <c r="G271" s="161"/>
      <c r="H271" s="161"/>
      <c r="I271" s="161"/>
      <c r="J271" s="161"/>
      <c r="K271" s="161"/>
      <c r="L271" s="161"/>
      <c r="M271" s="161"/>
      <c r="N271" s="161"/>
      <c r="O271" s="216"/>
      <c r="P271" s="216"/>
      <c r="Q271" s="216"/>
      <c r="R271" s="216"/>
    </row>
    <row r="272" spans="1:18" ht="15.75" hidden="1">
      <c r="A272" s="161"/>
      <c r="B272" s="161"/>
      <c r="C272" s="170"/>
      <c r="D272" s="161"/>
      <c r="E272" s="161"/>
      <c r="F272" s="161"/>
      <c r="G272" s="161"/>
      <c r="H272" s="161"/>
      <c r="I272" s="161"/>
      <c r="J272" s="161"/>
      <c r="K272" s="161"/>
      <c r="L272" s="161"/>
      <c r="M272" s="161"/>
      <c r="N272" s="161"/>
      <c r="O272" s="216"/>
      <c r="P272" s="216"/>
      <c r="Q272" s="216"/>
      <c r="R272" s="216"/>
    </row>
    <row r="273" spans="1:18" ht="15.75" hidden="1">
      <c r="A273" s="161"/>
      <c r="B273" s="161"/>
      <c r="C273" s="170"/>
      <c r="D273" s="161"/>
      <c r="E273" s="161"/>
      <c r="F273" s="161"/>
      <c r="G273" s="161"/>
      <c r="H273" s="161"/>
      <c r="I273" s="161"/>
      <c r="J273" s="161"/>
      <c r="K273" s="161"/>
      <c r="L273" s="161"/>
      <c r="M273" s="161"/>
      <c r="N273" s="161"/>
      <c r="O273" s="216"/>
      <c r="P273" s="216"/>
      <c r="Q273" s="216"/>
      <c r="R273" s="216"/>
    </row>
    <row r="274" spans="1:21" ht="15.75" hidden="1">
      <c r="A274" s="161"/>
      <c r="B274" s="161"/>
      <c r="C274" s="170"/>
      <c r="D274" s="161"/>
      <c r="E274" s="161"/>
      <c r="F274" s="161"/>
      <c r="G274" s="161"/>
      <c r="H274" s="161"/>
      <c r="I274" s="161"/>
      <c r="J274" s="161"/>
      <c r="K274" s="161"/>
      <c r="L274" s="161"/>
      <c r="M274" s="161"/>
      <c r="N274" s="161"/>
      <c r="O274" s="161"/>
      <c r="P274" s="161"/>
      <c r="Q274" s="161"/>
      <c r="R274" s="161"/>
      <c r="U274" s="16"/>
    </row>
    <row r="275" spans="1:24" ht="15.75">
      <c r="A275" s="161"/>
      <c r="B275" s="161" t="s">
        <v>15</v>
      </c>
      <c r="C275" s="170">
        <f>SUM(C260:C274)</f>
        <v>14</v>
      </c>
      <c r="D275" s="230">
        <f>D260+D261+D262+D263+D264+D265*C265+D267*C267+D268</f>
        <v>32756</v>
      </c>
      <c r="E275" s="230"/>
      <c r="F275" s="170">
        <f>SUM(F260:F262)</f>
        <v>2606.7200000000003</v>
      </c>
      <c r="G275" s="170"/>
      <c r="H275" s="170">
        <f>SUM(H260:H262)</f>
        <v>0</v>
      </c>
      <c r="I275" s="170">
        <f>SUM(I260:I262)</f>
        <v>0</v>
      </c>
      <c r="J275" s="170">
        <f>SUM(J260:J262)</f>
        <v>0</v>
      </c>
      <c r="K275" s="170">
        <f>SUM(K260:K268)</f>
        <v>0</v>
      </c>
      <c r="L275" s="170">
        <f>SUM(L260:L268)</f>
        <v>697.6</v>
      </c>
      <c r="M275" s="170">
        <f>SUM(M260:M268)</f>
        <v>0</v>
      </c>
      <c r="N275" s="170">
        <f>SUM(N260:N268)</f>
        <v>2790.4</v>
      </c>
      <c r="O275" s="170">
        <f>SUM(O260:O269)</f>
        <v>38850.72</v>
      </c>
      <c r="P275" s="283">
        <f>SUM(P260:P269)</f>
        <v>14256</v>
      </c>
      <c r="Q275" s="170">
        <f>SUM(Q260:Q269)</f>
        <v>53106.72</v>
      </c>
      <c r="R275" s="170">
        <f>SUM(R260:R269)</f>
        <v>466208.64</v>
      </c>
      <c r="X275" s="16">
        <f>D262+D263+D264+D265*C265+D267*C267+D268</f>
        <v>24274.4</v>
      </c>
    </row>
    <row r="276" spans="1:18" ht="15.75">
      <c r="A276" s="173"/>
      <c r="B276" s="173"/>
      <c r="C276" s="173"/>
      <c r="D276" s="173"/>
      <c r="E276" s="173"/>
      <c r="F276" s="173"/>
      <c r="G276" s="173"/>
      <c r="H276" s="173"/>
      <c r="I276" s="173"/>
      <c r="J276" s="173"/>
      <c r="K276" s="173"/>
      <c r="L276" s="173"/>
      <c r="M276" s="173"/>
      <c r="N276" s="173"/>
      <c r="O276" s="289"/>
      <c r="P276" s="289"/>
      <c r="Q276" s="289"/>
      <c r="R276" s="289"/>
    </row>
    <row r="277" spans="1:25" ht="61.5" customHeight="1">
      <c r="A277" s="173"/>
      <c r="B277" s="383"/>
      <c r="C277" s="286"/>
      <c r="D277" s="173"/>
      <c r="E277" s="384"/>
      <c r="F277" s="173"/>
      <c r="G277" s="173"/>
      <c r="H277" s="173"/>
      <c r="I277" s="173"/>
      <c r="J277" s="173"/>
      <c r="K277" s="173"/>
      <c r="L277" s="173"/>
      <c r="M277" s="173"/>
      <c r="N277" s="173"/>
      <c r="O277" s="289"/>
      <c r="P277" s="289"/>
      <c r="Q277" s="289"/>
      <c r="R277" s="173"/>
      <c r="Y277" s="16">
        <f>D264+D265*C265+D267*C267</f>
        <v>15984</v>
      </c>
    </row>
    <row r="278" spans="1:22" ht="37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18" ht="14.25" customHeight="1">
      <c r="A279" s="172"/>
      <c r="B279" s="172"/>
      <c r="C279" s="200" t="s">
        <v>371</v>
      </c>
      <c r="D279" s="200"/>
      <c r="E279" s="200"/>
      <c r="F279" s="200"/>
      <c r="G279" s="200"/>
      <c r="H279" s="200"/>
      <c r="I279" s="200"/>
      <c r="J279" s="200"/>
      <c r="K279" s="198" t="s">
        <v>372</v>
      </c>
      <c r="L279" s="198"/>
      <c r="M279" s="198"/>
      <c r="N279" s="198"/>
      <c r="O279" s="172"/>
      <c r="P279" s="172"/>
      <c r="Q279" s="172"/>
      <c r="R279" s="172"/>
    </row>
    <row r="280" spans="1:18" ht="18.75">
      <c r="A280" s="198"/>
      <c r="B280" s="232"/>
      <c r="C280" s="232"/>
      <c r="D280" s="232"/>
      <c r="E280" s="232"/>
      <c r="F280" s="232"/>
      <c r="G280" s="232"/>
      <c r="H280" s="232"/>
      <c r="I280" s="232"/>
      <c r="J280" s="232"/>
      <c r="K280" s="232"/>
      <c r="L280" s="232"/>
      <c r="M280" s="232"/>
      <c r="N280" s="198"/>
      <c r="O280" s="198"/>
      <c r="P280" s="198"/>
      <c r="Q280" s="198"/>
      <c r="R280" s="198"/>
    </row>
    <row r="281" spans="1:18" ht="15.75">
      <c r="A281" s="172"/>
      <c r="B281" s="172"/>
      <c r="C281" s="173"/>
      <c r="D281" s="172"/>
      <c r="E281" s="172"/>
      <c r="F281" s="172"/>
      <c r="G281" s="172"/>
      <c r="H281" s="172"/>
      <c r="I281" s="172"/>
      <c r="J281" s="173"/>
      <c r="K281" s="172"/>
      <c r="L281" s="172"/>
      <c r="M281" s="172"/>
      <c r="N281" s="172"/>
      <c r="O281" s="172"/>
      <c r="P281" s="172"/>
      <c r="Q281" s="172"/>
      <c r="R281" s="172"/>
    </row>
    <row r="282" spans="1:18" ht="15">
      <c r="A282" s="469"/>
      <c r="B282" s="469"/>
      <c r="C282" s="469"/>
      <c r="D282" s="469"/>
      <c r="E282" s="469"/>
      <c r="F282" s="469"/>
      <c r="G282" s="469"/>
      <c r="H282" s="469"/>
      <c r="I282" s="469"/>
      <c r="J282" s="469"/>
      <c r="K282" s="469"/>
      <c r="L282" s="469"/>
      <c r="M282" s="469"/>
      <c r="N282" s="469"/>
      <c r="O282" s="469"/>
      <c r="P282" s="469"/>
      <c r="Q282" s="469"/>
      <c r="R282" s="469"/>
    </row>
    <row r="283" spans="1:18" ht="15">
      <c r="A283" s="172"/>
      <c r="B283" s="418" t="s">
        <v>368</v>
      </c>
      <c r="C283" s="172"/>
      <c r="D283" s="172"/>
      <c r="E283" s="172"/>
      <c r="F283" s="172"/>
      <c r="G283" s="172"/>
      <c r="H283" s="172"/>
      <c r="I283" s="172"/>
      <c r="J283" s="172"/>
      <c r="K283" s="172"/>
      <c r="L283" s="172"/>
      <c r="M283" s="172"/>
      <c r="N283" s="172"/>
      <c r="O283" s="172"/>
      <c r="P283" s="172"/>
      <c r="Q283" s="172"/>
      <c r="R283" s="172"/>
    </row>
    <row r="284" ht="15">
      <c r="B284" s="194">
        <v>42041</v>
      </c>
    </row>
    <row r="285" spans="1:18" ht="15.75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</row>
    <row r="296" ht="20.25">
      <c r="H296" s="196"/>
    </row>
    <row r="297" spans="1:18" ht="15.75">
      <c r="A297" s="173"/>
      <c r="B297" s="173"/>
      <c r="C297" s="173"/>
      <c r="D297" s="173"/>
      <c r="E297" s="173"/>
      <c r="F297" s="173"/>
      <c r="G297" s="173"/>
      <c r="H297" s="173"/>
      <c r="I297" s="173"/>
      <c r="J297" s="487" t="s">
        <v>227</v>
      </c>
      <c r="K297" s="487"/>
      <c r="L297" s="487"/>
      <c r="M297" s="487"/>
      <c r="N297" s="487"/>
      <c r="O297" s="487"/>
      <c r="P297" s="358"/>
      <c r="Q297" s="358"/>
      <c r="R297" s="173"/>
    </row>
    <row r="298" spans="1:18" ht="15.75">
      <c r="A298" s="173"/>
      <c r="B298" s="173"/>
      <c r="C298" s="173"/>
      <c r="D298" s="173"/>
      <c r="E298" s="173"/>
      <c r="F298" s="173"/>
      <c r="G298" s="173"/>
      <c r="H298" s="173"/>
      <c r="I298" s="173"/>
      <c r="J298" s="200" t="s">
        <v>359</v>
      </c>
      <c r="K298" s="200"/>
      <c r="L298" s="200"/>
      <c r="M298" s="200"/>
      <c r="N298" s="200"/>
      <c r="O298" s="200"/>
      <c r="P298" s="200"/>
      <c r="Q298" s="200"/>
      <c r="R298" s="173"/>
    </row>
    <row r="299" spans="1:18" ht="15.75">
      <c r="A299" s="173"/>
      <c r="B299" s="173"/>
      <c r="C299" s="173"/>
      <c r="D299" s="173"/>
      <c r="E299" s="173"/>
      <c r="F299" s="173"/>
      <c r="G299" s="173"/>
      <c r="H299" s="173"/>
      <c r="I299" s="173"/>
      <c r="J299" s="173" t="s">
        <v>345</v>
      </c>
      <c r="K299" s="173"/>
      <c r="L299" s="173"/>
      <c r="M299" s="173"/>
      <c r="N299" s="173"/>
      <c r="O299" s="173"/>
      <c r="P299" s="173"/>
      <c r="Q299" s="173"/>
      <c r="R299" s="200"/>
    </row>
    <row r="300" spans="1:18" ht="15.75">
      <c r="A300" s="173"/>
      <c r="B300" s="512" t="s">
        <v>369</v>
      </c>
      <c r="C300" s="512"/>
      <c r="D300" s="512"/>
      <c r="E300" s="512"/>
      <c r="F300" s="512"/>
      <c r="G300" s="512"/>
      <c r="H300" s="512"/>
      <c r="I300" s="173"/>
      <c r="J300" s="173" t="s">
        <v>380</v>
      </c>
      <c r="K300" s="173"/>
      <c r="L300" s="173"/>
      <c r="M300" s="173"/>
      <c r="N300" s="173"/>
      <c r="O300" s="173"/>
      <c r="P300" s="173"/>
      <c r="Q300" s="173"/>
      <c r="R300" s="173"/>
    </row>
    <row r="301" spans="1:18" ht="20.25">
      <c r="A301" s="173"/>
      <c r="B301" s="656" t="s">
        <v>290</v>
      </c>
      <c r="C301" s="656"/>
      <c r="D301" s="656"/>
      <c r="E301" s="656"/>
      <c r="F301" s="656"/>
      <c r="G301" s="656"/>
      <c r="H301" s="656"/>
      <c r="I301" s="173"/>
      <c r="J301" s="173"/>
      <c r="K301" s="173"/>
      <c r="L301" s="173"/>
      <c r="M301" s="173"/>
      <c r="N301" s="173"/>
      <c r="O301" s="173"/>
      <c r="P301" s="173"/>
      <c r="Q301" s="173"/>
      <c r="R301" s="173"/>
    </row>
    <row r="302" spans="1:18" ht="15.75">
      <c r="A302" s="173"/>
      <c r="B302" s="505" t="s">
        <v>16</v>
      </c>
      <c r="C302" s="505"/>
      <c r="D302" s="505"/>
      <c r="E302" s="505"/>
      <c r="F302" s="505"/>
      <c r="G302" s="505"/>
      <c r="H302" s="505"/>
      <c r="I302" s="173"/>
      <c r="J302" s="156"/>
      <c r="K302" s="156"/>
      <c r="L302" s="156"/>
      <c r="M302" s="156"/>
      <c r="N302" s="156"/>
      <c r="O302" s="156"/>
      <c r="P302" s="156"/>
      <c r="Q302" s="156"/>
      <c r="R302" s="173"/>
    </row>
    <row r="303" spans="1:18" ht="15.75">
      <c r="A303" s="173"/>
      <c r="B303" s="173"/>
      <c r="C303" s="173"/>
      <c r="D303" s="173"/>
      <c r="E303" s="173"/>
      <c r="F303" s="173"/>
      <c r="G303" s="173"/>
      <c r="H303" s="173"/>
      <c r="I303" s="173"/>
      <c r="J303" s="156"/>
      <c r="K303" s="156"/>
      <c r="L303" s="156"/>
      <c r="M303" s="156"/>
      <c r="N303" s="156"/>
      <c r="O303" s="156"/>
      <c r="P303" s="156"/>
      <c r="Q303" s="156"/>
      <c r="R303" s="173"/>
    </row>
    <row r="304" spans="1:22" ht="15.75">
      <c r="A304" s="173"/>
      <c r="B304" s="173"/>
      <c r="C304" s="173"/>
      <c r="D304" s="173"/>
      <c r="E304" s="173"/>
      <c r="F304" s="173"/>
      <c r="G304" s="173"/>
      <c r="H304" s="173"/>
      <c r="I304" s="173"/>
      <c r="J304" s="173"/>
      <c r="K304" s="573"/>
      <c r="L304" s="573"/>
      <c r="M304" s="573"/>
      <c r="N304" s="573"/>
      <c r="O304" s="573"/>
      <c r="P304" s="573"/>
      <c r="Q304" s="573"/>
      <c r="R304" s="573"/>
      <c r="V304" s="3" t="s">
        <v>157</v>
      </c>
    </row>
    <row r="305" spans="1:22" ht="15.75">
      <c r="A305" s="173"/>
      <c r="B305" s="173"/>
      <c r="C305" s="173"/>
      <c r="D305" s="173"/>
      <c r="E305" s="173"/>
      <c r="F305" s="173"/>
      <c r="G305" s="173"/>
      <c r="H305" s="173"/>
      <c r="I305" s="173"/>
      <c r="J305" s="173"/>
      <c r="K305" s="173"/>
      <c r="L305" s="173"/>
      <c r="M305" s="173"/>
      <c r="N305" s="173"/>
      <c r="O305" s="173"/>
      <c r="P305" s="173"/>
      <c r="Q305" s="173"/>
      <c r="R305" s="173"/>
      <c r="V305" s="16">
        <f>F328+G328+H328+I328+J328+K328+L328+M328+N328</f>
        <v>44856.4</v>
      </c>
    </row>
    <row r="306" spans="1:18" ht="12.75" customHeight="1">
      <c r="A306" s="502" t="s">
        <v>1</v>
      </c>
      <c r="B306" s="202" t="s">
        <v>2</v>
      </c>
      <c r="C306" s="203" t="s">
        <v>4</v>
      </c>
      <c r="D306" s="504" t="s">
        <v>321</v>
      </c>
      <c r="E306" s="504" t="s">
        <v>322</v>
      </c>
      <c r="F306" s="496" t="s">
        <v>7</v>
      </c>
      <c r="G306" s="497"/>
      <c r="H306" s="497"/>
      <c r="I306" s="497"/>
      <c r="J306" s="497"/>
      <c r="K306" s="378"/>
      <c r="L306" s="497" t="s">
        <v>8</v>
      </c>
      <c r="M306" s="497"/>
      <c r="N306" s="517"/>
      <c r="O306" s="202" t="s">
        <v>13</v>
      </c>
      <c r="P306" s="493" t="s">
        <v>339</v>
      </c>
      <c r="Q306" s="473" t="s">
        <v>340</v>
      </c>
      <c r="R306" s="203" t="s">
        <v>13</v>
      </c>
    </row>
    <row r="307" spans="1:18" ht="18" customHeight="1">
      <c r="A307" s="503"/>
      <c r="B307" s="209" t="s">
        <v>3</v>
      </c>
      <c r="C307" s="209" t="s">
        <v>5</v>
      </c>
      <c r="D307" s="504"/>
      <c r="E307" s="504"/>
      <c r="F307" s="485"/>
      <c r="G307" s="361"/>
      <c r="H307" s="485"/>
      <c r="I307" s="485"/>
      <c r="J307" s="479">
        <v>0.5</v>
      </c>
      <c r="K307" s="482" t="s">
        <v>77</v>
      </c>
      <c r="L307" s="592" t="s">
        <v>113</v>
      </c>
      <c r="M307" s="489" t="s">
        <v>114</v>
      </c>
      <c r="N307" s="482"/>
      <c r="O307" s="209" t="s">
        <v>11</v>
      </c>
      <c r="P307" s="494"/>
      <c r="Q307" s="474"/>
      <c r="R307" s="210" t="s">
        <v>11</v>
      </c>
    </row>
    <row r="308" spans="1:18" ht="15.75">
      <c r="A308" s="503"/>
      <c r="B308" s="209"/>
      <c r="C308" s="209" t="s">
        <v>6</v>
      </c>
      <c r="D308" s="504"/>
      <c r="E308" s="504"/>
      <c r="F308" s="480"/>
      <c r="G308" s="362"/>
      <c r="H308" s="480"/>
      <c r="I308" s="480"/>
      <c r="J308" s="480"/>
      <c r="K308" s="523"/>
      <c r="L308" s="593"/>
      <c r="M308" s="483"/>
      <c r="N308" s="483"/>
      <c r="O308" s="363" t="s">
        <v>12</v>
      </c>
      <c r="P308" s="494"/>
      <c r="Q308" s="474"/>
      <c r="R308" s="210" t="s">
        <v>14</v>
      </c>
    </row>
    <row r="309" spans="1:18" ht="15.75">
      <c r="A309" s="208"/>
      <c r="B309" s="209"/>
      <c r="C309" s="209"/>
      <c r="D309" s="504"/>
      <c r="E309" s="504"/>
      <c r="F309" s="480"/>
      <c r="G309" s="362"/>
      <c r="H309" s="480"/>
      <c r="I309" s="480"/>
      <c r="J309" s="480"/>
      <c r="K309" s="523"/>
      <c r="L309" s="593"/>
      <c r="M309" s="483"/>
      <c r="N309" s="483"/>
      <c r="O309" s="363" t="s">
        <v>115</v>
      </c>
      <c r="P309" s="494"/>
      <c r="Q309" s="474"/>
      <c r="R309" s="210" t="s">
        <v>115</v>
      </c>
    </row>
    <row r="310" spans="1:18" ht="51.75" customHeight="1">
      <c r="A310" s="212"/>
      <c r="B310" s="214"/>
      <c r="C310" s="214"/>
      <c r="D310" s="504"/>
      <c r="E310" s="504"/>
      <c r="F310" s="481"/>
      <c r="G310" s="364"/>
      <c r="H310" s="481"/>
      <c r="I310" s="481"/>
      <c r="J310" s="481"/>
      <c r="K310" s="524"/>
      <c r="L310" s="594"/>
      <c r="M310" s="484"/>
      <c r="N310" s="484"/>
      <c r="O310" s="213"/>
      <c r="P310" s="495"/>
      <c r="Q310" s="475"/>
      <c r="R310" s="216"/>
    </row>
    <row r="311" spans="1:18" ht="15.75">
      <c r="A311" s="217">
        <v>1</v>
      </c>
      <c r="B311" s="366" t="s">
        <v>43</v>
      </c>
      <c r="C311" s="216">
        <v>1</v>
      </c>
      <c r="D311" s="220">
        <v>2912</v>
      </c>
      <c r="E311" s="221">
        <v>10</v>
      </c>
      <c r="F311" s="370"/>
      <c r="G311" s="370"/>
      <c r="H311" s="370"/>
      <c r="I311" s="370"/>
      <c r="J311" s="222">
        <f>D311*0.5</f>
        <v>1456</v>
      </c>
      <c r="K311" s="222">
        <f>(D311+J311)*50%</f>
        <v>2184</v>
      </c>
      <c r="L311" s="370"/>
      <c r="M311" s="370"/>
      <c r="N311" s="370"/>
      <c r="O311" s="223">
        <f aca="true" t="shared" si="23" ref="O311:O321">D311*C311+F311+H311+I311+J311+K311+L311+M311+N311</f>
        <v>6552</v>
      </c>
      <c r="P311" s="223"/>
      <c r="Q311" s="223">
        <f>O311+P311</f>
        <v>6552</v>
      </c>
      <c r="R311" s="223">
        <f>O311*12</f>
        <v>78624</v>
      </c>
    </row>
    <row r="312" spans="1:18" ht="110.25">
      <c r="A312" s="204">
        <v>2</v>
      </c>
      <c r="B312" s="374" t="s">
        <v>44</v>
      </c>
      <c r="C312" s="161">
        <v>1</v>
      </c>
      <c r="D312" s="220">
        <f>D311*95%</f>
        <v>2766.4</v>
      </c>
      <c r="E312" s="228" t="s">
        <v>135</v>
      </c>
      <c r="F312" s="161"/>
      <c r="G312" s="161"/>
      <c r="H312" s="161"/>
      <c r="I312" s="161"/>
      <c r="J312" s="222">
        <f>D312*0.5</f>
        <v>1383.2</v>
      </c>
      <c r="K312" s="222">
        <f>(D312+J312)*50%</f>
        <v>2074.8</v>
      </c>
      <c r="L312" s="161"/>
      <c r="M312" s="161"/>
      <c r="N312" s="161"/>
      <c r="O312" s="219">
        <f t="shared" si="23"/>
        <v>6224.400000000001</v>
      </c>
      <c r="P312" s="223"/>
      <c r="Q312" s="223">
        <f aca="true" t="shared" si="24" ref="Q312:Q322">O312+P312</f>
        <v>6224.400000000001</v>
      </c>
      <c r="R312" s="223">
        <f aca="true" t="shared" si="25" ref="R312:R320">O312*12</f>
        <v>74692.8</v>
      </c>
    </row>
    <row r="313" spans="1:18" ht="31.5">
      <c r="A313" s="204">
        <v>3</v>
      </c>
      <c r="B313" s="374" t="s">
        <v>85</v>
      </c>
      <c r="C313" s="161">
        <v>3</v>
      </c>
      <c r="D313" s="220">
        <v>2912</v>
      </c>
      <c r="E313" s="221">
        <v>10</v>
      </c>
      <c r="F313" s="161"/>
      <c r="G313" s="161"/>
      <c r="H313" s="161"/>
      <c r="I313" s="161"/>
      <c r="J313" s="222">
        <f aca="true" t="shared" si="26" ref="J313:J319">D313*C313*50%</f>
        <v>4368</v>
      </c>
      <c r="K313" s="222">
        <f>(D313*C313+J313)*50%</f>
        <v>6552</v>
      </c>
      <c r="L313" s="161"/>
      <c r="M313" s="161"/>
      <c r="N313" s="161"/>
      <c r="O313" s="219">
        <f t="shared" si="23"/>
        <v>19656</v>
      </c>
      <c r="P313" s="223"/>
      <c r="Q313" s="223">
        <f t="shared" si="24"/>
        <v>19656</v>
      </c>
      <c r="R313" s="223">
        <f t="shared" si="25"/>
        <v>235872</v>
      </c>
    </row>
    <row r="314" spans="1:18" ht="47.25">
      <c r="A314" s="204">
        <v>4</v>
      </c>
      <c r="B314" s="374" t="s">
        <v>256</v>
      </c>
      <c r="C314" s="161">
        <v>1</v>
      </c>
      <c r="D314" s="220">
        <v>2912</v>
      </c>
      <c r="E314" s="221">
        <v>10</v>
      </c>
      <c r="F314" s="161"/>
      <c r="G314" s="161"/>
      <c r="H314" s="161"/>
      <c r="I314" s="161"/>
      <c r="J314" s="222">
        <f t="shared" si="26"/>
        <v>1456</v>
      </c>
      <c r="K314" s="222">
        <f>(D314*C314+J314)*50%</f>
        <v>2184</v>
      </c>
      <c r="L314" s="161"/>
      <c r="M314" s="161"/>
      <c r="N314" s="161"/>
      <c r="O314" s="219">
        <f t="shared" si="23"/>
        <v>6552</v>
      </c>
      <c r="P314" s="223"/>
      <c r="Q314" s="223">
        <f t="shared" si="24"/>
        <v>6552</v>
      </c>
      <c r="R314" s="223">
        <f t="shared" si="25"/>
        <v>78624</v>
      </c>
    </row>
    <row r="315" spans="1:18" ht="15.75">
      <c r="A315" s="204">
        <v>5</v>
      </c>
      <c r="B315" s="374" t="s">
        <v>45</v>
      </c>
      <c r="C315" s="161">
        <v>6</v>
      </c>
      <c r="D315" s="220">
        <v>2768</v>
      </c>
      <c r="E315" s="221">
        <v>9</v>
      </c>
      <c r="F315" s="161"/>
      <c r="G315" s="161"/>
      <c r="H315" s="161"/>
      <c r="I315" s="161"/>
      <c r="J315" s="84">
        <f t="shared" si="26"/>
        <v>8304</v>
      </c>
      <c r="K315" s="222">
        <f>(D315*C315+J315)*25%</f>
        <v>6228</v>
      </c>
      <c r="L315" s="161"/>
      <c r="M315" s="161"/>
      <c r="N315" s="161"/>
      <c r="O315" s="223">
        <f t="shared" si="23"/>
        <v>31140</v>
      </c>
      <c r="P315" s="223"/>
      <c r="Q315" s="223">
        <f t="shared" si="24"/>
        <v>31140</v>
      </c>
      <c r="R315" s="223">
        <f t="shared" si="25"/>
        <v>373680</v>
      </c>
    </row>
    <row r="316" spans="1:18" ht="15.75">
      <c r="A316" s="204">
        <v>6</v>
      </c>
      <c r="B316" s="374" t="s">
        <v>46</v>
      </c>
      <c r="C316" s="161">
        <v>2</v>
      </c>
      <c r="D316" s="220">
        <v>2624</v>
      </c>
      <c r="E316" s="221">
        <v>8</v>
      </c>
      <c r="F316" s="161"/>
      <c r="G316" s="161"/>
      <c r="H316" s="161"/>
      <c r="I316" s="161"/>
      <c r="J316" s="170">
        <f t="shared" si="26"/>
        <v>2624</v>
      </c>
      <c r="K316" s="222">
        <f>(D316*C316+J316)*25%</f>
        <v>1968</v>
      </c>
      <c r="L316" s="161"/>
      <c r="M316" s="161"/>
      <c r="N316" s="161"/>
      <c r="O316" s="223">
        <f t="shared" si="23"/>
        <v>9840</v>
      </c>
      <c r="P316" s="223"/>
      <c r="Q316" s="223">
        <f t="shared" si="24"/>
        <v>9840</v>
      </c>
      <c r="R316" s="223">
        <f t="shared" si="25"/>
        <v>118080</v>
      </c>
    </row>
    <row r="317" spans="1:18" ht="15.75">
      <c r="A317" s="204">
        <v>7</v>
      </c>
      <c r="B317" s="374" t="s">
        <v>47</v>
      </c>
      <c r="C317" s="161">
        <v>1</v>
      </c>
      <c r="D317" s="220">
        <v>2464</v>
      </c>
      <c r="E317" s="221">
        <v>7</v>
      </c>
      <c r="F317" s="161"/>
      <c r="G317" s="161"/>
      <c r="H317" s="161"/>
      <c r="I317" s="161"/>
      <c r="J317" s="170">
        <f t="shared" si="26"/>
        <v>1232</v>
      </c>
      <c r="K317" s="222">
        <f>(D317*C317+J317)*25%</f>
        <v>924</v>
      </c>
      <c r="L317" s="161"/>
      <c r="M317" s="170"/>
      <c r="N317" s="161"/>
      <c r="O317" s="223">
        <f t="shared" si="23"/>
        <v>4620</v>
      </c>
      <c r="P317" s="223"/>
      <c r="Q317" s="223">
        <f t="shared" si="24"/>
        <v>4620</v>
      </c>
      <c r="R317" s="223">
        <f t="shared" si="25"/>
        <v>55440</v>
      </c>
    </row>
    <row r="318" spans="1:18" ht="0.75" customHeight="1">
      <c r="A318" s="204"/>
      <c r="B318" s="374"/>
      <c r="C318" s="161"/>
      <c r="D318" s="220"/>
      <c r="E318" s="221"/>
      <c r="F318" s="161"/>
      <c r="G318" s="161"/>
      <c r="H318" s="161"/>
      <c r="I318" s="161"/>
      <c r="J318" s="170">
        <f t="shared" si="26"/>
        <v>0</v>
      </c>
      <c r="K318" s="222">
        <f>(D318*C318+J318)*25%</f>
        <v>0</v>
      </c>
      <c r="L318" s="161"/>
      <c r="M318" s="170"/>
      <c r="N318" s="161"/>
      <c r="O318" s="223">
        <f t="shared" si="23"/>
        <v>0</v>
      </c>
      <c r="P318" s="223"/>
      <c r="Q318" s="223">
        <f t="shared" si="24"/>
        <v>0</v>
      </c>
      <c r="R318" s="223">
        <f t="shared" si="25"/>
        <v>0</v>
      </c>
    </row>
    <row r="319" spans="1:19" ht="15.75" hidden="1">
      <c r="A319" s="204"/>
      <c r="B319" s="374"/>
      <c r="C319" s="161"/>
      <c r="D319" s="220"/>
      <c r="E319" s="221"/>
      <c r="F319" s="161"/>
      <c r="G319" s="161"/>
      <c r="H319" s="161"/>
      <c r="I319" s="161"/>
      <c r="J319" s="170">
        <f t="shared" si="26"/>
        <v>0</v>
      </c>
      <c r="K319" s="222">
        <f>(D319*C319+J319)*50%</f>
        <v>0</v>
      </c>
      <c r="L319" s="161"/>
      <c r="M319" s="161"/>
      <c r="N319" s="161"/>
      <c r="O319" s="223">
        <f t="shared" si="23"/>
        <v>0</v>
      </c>
      <c r="P319" s="223">
        <f>3200*C319-(O319-M319-L319)</f>
        <v>0</v>
      </c>
      <c r="Q319" s="223">
        <f t="shared" si="24"/>
        <v>0</v>
      </c>
      <c r="R319" s="223">
        <f t="shared" si="25"/>
        <v>0</v>
      </c>
      <c r="S319" s="16"/>
    </row>
    <row r="320" spans="1:25" ht="31.5">
      <c r="A320" s="204">
        <v>8</v>
      </c>
      <c r="B320" s="374" t="s">
        <v>48</v>
      </c>
      <c r="C320" s="161">
        <v>1</v>
      </c>
      <c r="D320" s="220">
        <v>1744</v>
      </c>
      <c r="E320" s="221">
        <v>2</v>
      </c>
      <c r="F320" s="161"/>
      <c r="G320" s="161"/>
      <c r="H320" s="161"/>
      <c r="I320" s="161"/>
      <c r="J320" s="161"/>
      <c r="K320" s="161"/>
      <c r="L320" s="161">
        <f>D320*10%*C320</f>
        <v>174.4</v>
      </c>
      <c r="M320" s="161"/>
      <c r="N320" s="161"/>
      <c r="O320" s="223">
        <f t="shared" si="23"/>
        <v>1918.4</v>
      </c>
      <c r="P320" s="223">
        <f>3200*C320-(O320-M320-L320)</f>
        <v>1456</v>
      </c>
      <c r="Q320" s="223">
        <f t="shared" si="24"/>
        <v>3374.4</v>
      </c>
      <c r="R320" s="223">
        <f t="shared" si="25"/>
        <v>23020.800000000003</v>
      </c>
      <c r="S320" s="16"/>
      <c r="Y320" s="3">
        <f>D311+D312+D313*C313+D314+D315*C315+D316*C316+D317+D318*C318</f>
        <v>41646.4</v>
      </c>
    </row>
    <row r="321" spans="1:25" ht="63">
      <c r="A321" s="204">
        <v>9</v>
      </c>
      <c r="B321" s="374" t="s">
        <v>182</v>
      </c>
      <c r="C321" s="161">
        <v>0.5</v>
      </c>
      <c r="D321" s="220">
        <v>2032</v>
      </c>
      <c r="E321" s="221">
        <v>4</v>
      </c>
      <c r="F321" s="161"/>
      <c r="G321" s="161"/>
      <c r="H321" s="161"/>
      <c r="I321" s="161"/>
      <c r="J321" s="161"/>
      <c r="K321" s="161"/>
      <c r="L321" s="161"/>
      <c r="M321" s="161"/>
      <c r="N321" s="161"/>
      <c r="O321" s="223">
        <f t="shared" si="23"/>
        <v>1016</v>
      </c>
      <c r="P321" s="223">
        <f>3200*C321-(O321-M321-L321)</f>
        <v>584</v>
      </c>
      <c r="Q321" s="223">
        <f t="shared" si="24"/>
        <v>1600</v>
      </c>
      <c r="R321" s="223">
        <f>O321*12</f>
        <v>12192</v>
      </c>
      <c r="Y321" s="3">
        <f>D320+D321*C321+D322*C322</f>
        <v>7120</v>
      </c>
    </row>
    <row r="322" spans="1:18" ht="15.75">
      <c r="A322" s="204">
        <v>10</v>
      </c>
      <c r="B322" s="374" t="s">
        <v>27</v>
      </c>
      <c r="C322" s="161">
        <v>2.5</v>
      </c>
      <c r="D322" s="220">
        <v>1744</v>
      </c>
      <c r="E322" s="221">
        <v>2</v>
      </c>
      <c r="F322" s="161"/>
      <c r="G322" s="156"/>
      <c r="H322" s="161"/>
      <c r="I322" s="161"/>
      <c r="J322" s="161"/>
      <c r="K322" s="161"/>
      <c r="L322" s="161"/>
      <c r="M322" s="283">
        <f>D322*40%*2.5</f>
        <v>1744</v>
      </c>
      <c r="N322" s="161"/>
      <c r="O322" s="216">
        <f>D322*C322+F322+F321+I322+J322+K322+L322+M322+N322</f>
        <v>6104</v>
      </c>
      <c r="P322" s="223">
        <f>3200*C322-(O322-M322-L322)</f>
        <v>3640</v>
      </c>
      <c r="Q322" s="223">
        <f t="shared" si="24"/>
        <v>9744</v>
      </c>
      <c r="R322" s="223">
        <f>O322*3+O322*6+O322*1.038+O322*1.038*1.1+O322*1.038*1.1*1.11</f>
        <v>75977.696592</v>
      </c>
    </row>
    <row r="323" spans="1:18" ht="15.75">
      <c r="A323" s="161"/>
      <c r="B323" s="374"/>
      <c r="C323" s="161"/>
      <c r="D323" s="161"/>
      <c r="E323" s="374"/>
      <c r="F323" s="161"/>
      <c r="G323" s="161"/>
      <c r="H323" s="161"/>
      <c r="I323" s="161"/>
      <c r="J323" s="161"/>
      <c r="K323" s="161"/>
      <c r="L323" s="161"/>
      <c r="M323" s="283"/>
      <c r="N323" s="161"/>
      <c r="O323" s="216"/>
      <c r="P323" s="216"/>
      <c r="Q323" s="216"/>
      <c r="R323" s="216"/>
    </row>
    <row r="324" spans="1:18" ht="15.75" hidden="1">
      <c r="A324" s="161"/>
      <c r="B324" s="374"/>
      <c r="C324" s="161"/>
      <c r="D324" s="161"/>
      <c r="E324" s="161"/>
      <c r="F324" s="161"/>
      <c r="G324" s="161"/>
      <c r="H324" s="161"/>
      <c r="I324" s="161"/>
      <c r="J324" s="161"/>
      <c r="K324" s="161"/>
      <c r="L324" s="161"/>
      <c r="M324" s="283"/>
      <c r="N324" s="161"/>
      <c r="O324" s="216"/>
      <c r="P324" s="216"/>
      <c r="Q324" s="216"/>
      <c r="R324" s="230"/>
    </row>
    <row r="325" spans="1:18" ht="15.75" hidden="1">
      <c r="A325" s="161"/>
      <c r="B325" s="161"/>
      <c r="C325" s="161"/>
      <c r="D325" s="161"/>
      <c r="E325" s="161"/>
      <c r="F325" s="161"/>
      <c r="G325" s="161"/>
      <c r="H325" s="161"/>
      <c r="I325" s="161"/>
      <c r="J325" s="161"/>
      <c r="K325" s="161"/>
      <c r="L325" s="161"/>
      <c r="M325" s="283"/>
      <c r="N325" s="161"/>
      <c r="O325" s="216"/>
      <c r="P325" s="216"/>
      <c r="Q325" s="216"/>
      <c r="R325" s="216"/>
    </row>
    <row r="326" spans="1:18" ht="15.75" hidden="1">
      <c r="A326" s="161"/>
      <c r="B326" s="161"/>
      <c r="C326" s="161"/>
      <c r="D326" s="161"/>
      <c r="E326" s="161"/>
      <c r="F326" s="161"/>
      <c r="G326" s="161"/>
      <c r="H326" s="161"/>
      <c r="I326" s="161"/>
      <c r="J326" s="161"/>
      <c r="K326" s="161"/>
      <c r="L326" s="161"/>
      <c r="M326" s="283"/>
      <c r="N326" s="161"/>
      <c r="O326" s="216"/>
      <c r="P326" s="216"/>
      <c r="Q326" s="216"/>
      <c r="R326" s="216"/>
    </row>
    <row r="327" spans="1:18" ht="15.75" hidden="1">
      <c r="A327" s="161"/>
      <c r="B327" s="161"/>
      <c r="C327" s="161"/>
      <c r="D327" s="161"/>
      <c r="E327" s="161"/>
      <c r="F327" s="161"/>
      <c r="G327" s="161"/>
      <c r="H327" s="161"/>
      <c r="I327" s="161"/>
      <c r="J327" s="161"/>
      <c r="K327" s="161"/>
      <c r="L327" s="161"/>
      <c r="M327" s="283"/>
      <c r="N327" s="161"/>
      <c r="O327" s="161"/>
      <c r="P327" s="161"/>
      <c r="Q327" s="161"/>
      <c r="R327" s="161"/>
    </row>
    <row r="328" spans="1:25" ht="15.75">
      <c r="A328" s="161"/>
      <c r="B328" s="161" t="s">
        <v>15</v>
      </c>
      <c r="C328" s="170">
        <f>SUM(C311:C327)</f>
        <v>19</v>
      </c>
      <c r="D328" s="230">
        <f>D311+D312+D315*C315+D316*C316+D317*C317+D319*C319+D320+D321*C321+D322*C322+D313*C313+D318*C318+D314*C314</f>
        <v>48766.4</v>
      </c>
      <c r="E328" s="230"/>
      <c r="F328" s="170">
        <f aca="true" t="shared" si="27" ref="F328:N328">SUM(F311:F327)</f>
        <v>0</v>
      </c>
      <c r="G328" s="170"/>
      <c r="H328" s="170">
        <f t="shared" si="27"/>
        <v>0</v>
      </c>
      <c r="I328" s="170">
        <f t="shared" si="27"/>
        <v>0</v>
      </c>
      <c r="J328" s="283">
        <f>SUM(J311:J327)</f>
        <v>20823.2</v>
      </c>
      <c r="K328" s="283">
        <f>SUM(K311:K327)</f>
        <v>22114.8</v>
      </c>
      <c r="L328" s="170">
        <f t="shared" si="27"/>
        <v>174.4</v>
      </c>
      <c r="M328" s="283">
        <f>SUM(M311:M327)</f>
        <v>1744</v>
      </c>
      <c r="N328" s="170">
        <f t="shared" si="27"/>
        <v>0</v>
      </c>
      <c r="O328" s="170">
        <f>SUM(O311:O327)</f>
        <v>93622.79999999999</v>
      </c>
      <c r="P328" s="170">
        <f>SUM(P311:P327)</f>
        <v>5680</v>
      </c>
      <c r="Q328" s="170">
        <f>SUM(Q311:Q327)</f>
        <v>99302.79999999999</v>
      </c>
      <c r="R328" s="283">
        <f>SUM(R311:R327)</f>
        <v>1126203.2965920002</v>
      </c>
      <c r="X328" s="172" t="s">
        <v>287</v>
      </c>
      <c r="Y328" s="16"/>
    </row>
    <row r="329" spans="1:24" ht="15.75">
      <c r="A329" s="203"/>
      <c r="B329" s="173"/>
      <c r="C329" s="173"/>
      <c r="D329" s="173"/>
      <c r="E329" s="173"/>
      <c r="F329" s="173"/>
      <c r="G329" s="173"/>
      <c r="H329" s="173"/>
      <c r="I329" s="173"/>
      <c r="J329" s="173"/>
      <c r="K329" s="173"/>
      <c r="L329" s="173"/>
      <c r="M329" s="173"/>
      <c r="N329" s="173"/>
      <c r="O329" s="289"/>
      <c r="P329" s="289"/>
      <c r="Q329" s="289"/>
      <c r="R329" s="289"/>
      <c r="X329" s="172">
        <v>7955.43</v>
      </c>
    </row>
    <row r="330" spans="1:18" ht="15.75">
      <c r="A330" s="156"/>
      <c r="B330" s="173"/>
      <c r="C330" s="173"/>
      <c r="D330" s="173"/>
      <c r="E330" s="173"/>
      <c r="F330" s="173"/>
      <c r="G330" s="173"/>
      <c r="H330" s="173"/>
      <c r="I330" s="173"/>
      <c r="J330" s="173"/>
      <c r="K330" s="173"/>
      <c r="L330" s="173"/>
      <c r="M330" s="173"/>
      <c r="N330" s="173"/>
      <c r="O330" s="173"/>
      <c r="P330" s="173"/>
      <c r="Q330" s="173"/>
      <c r="R330" s="173"/>
    </row>
    <row r="331" spans="1:18" ht="15.75">
      <c r="A331" s="156"/>
      <c r="B331" s="173"/>
      <c r="C331" s="173"/>
      <c r="D331" s="173"/>
      <c r="E331" s="173"/>
      <c r="F331" s="173"/>
      <c r="G331" s="173"/>
      <c r="H331" s="173"/>
      <c r="I331" s="173"/>
      <c r="J331" s="173"/>
      <c r="K331" s="173"/>
      <c r="L331" s="173"/>
      <c r="M331" s="173"/>
      <c r="N331" s="173"/>
      <c r="O331" s="173"/>
      <c r="P331" s="173"/>
      <c r="Q331" s="173"/>
      <c r="R331" s="173"/>
    </row>
    <row r="332" spans="1:22" ht="37.5" customHeight="1">
      <c r="A332" s="198"/>
      <c r="B332" s="198"/>
      <c r="C332" s="198"/>
      <c r="D332" s="198"/>
      <c r="E332" s="198"/>
      <c r="F332" s="198"/>
      <c r="G332" s="198"/>
      <c r="H332" s="198"/>
      <c r="I332" s="198"/>
      <c r="J332" s="198"/>
      <c r="K332" s="198"/>
      <c r="L332" s="198"/>
      <c r="M332" s="198"/>
      <c r="N332" s="198"/>
      <c r="O332" s="198"/>
      <c r="P332" s="198"/>
      <c r="Q332" s="198"/>
      <c r="R332" s="198"/>
      <c r="S332" s="2"/>
      <c r="T332" s="2"/>
      <c r="U332" s="2"/>
      <c r="V332" s="2"/>
    </row>
    <row r="333" spans="1:18" ht="14.25" customHeight="1">
      <c r="A333" s="172"/>
      <c r="B333" s="172"/>
      <c r="C333" s="200"/>
      <c r="D333" s="200"/>
      <c r="E333" s="200"/>
      <c r="F333" s="200"/>
      <c r="G333" s="200"/>
      <c r="H333" s="200"/>
      <c r="I333" s="200"/>
      <c r="J333" s="200"/>
      <c r="K333" s="198"/>
      <c r="L333" s="198"/>
      <c r="M333" s="198"/>
      <c r="N333" s="198"/>
      <c r="O333" s="172"/>
      <c r="P333" s="172"/>
      <c r="Q333" s="172"/>
      <c r="R333" s="172"/>
    </row>
    <row r="334" spans="1:18" ht="15">
      <c r="A334" s="198"/>
      <c r="B334" s="198"/>
      <c r="C334" s="198"/>
      <c r="D334" s="198"/>
      <c r="E334" s="198"/>
      <c r="F334" s="198"/>
      <c r="G334" s="198"/>
      <c r="H334" s="198"/>
      <c r="I334" s="198"/>
      <c r="J334" s="198"/>
      <c r="K334" s="198"/>
      <c r="L334" s="198"/>
      <c r="M334" s="198"/>
      <c r="N334" s="198"/>
      <c r="O334" s="198"/>
      <c r="P334" s="198"/>
      <c r="Q334" s="198"/>
      <c r="R334" s="198"/>
    </row>
    <row r="335" spans="1:22" ht="37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18" ht="14.25" customHeight="1">
      <c r="A336" s="172"/>
      <c r="B336" s="172"/>
      <c r="C336" s="200" t="s">
        <v>371</v>
      </c>
      <c r="D336" s="200"/>
      <c r="E336" s="200"/>
      <c r="F336" s="200"/>
      <c r="G336" s="200"/>
      <c r="H336" s="200"/>
      <c r="I336" s="200"/>
      <c r="J336" s="200"/>
      <c r="K336" s="198" t="s">
        <v>372</v>
      </c>
      <c r="L336" s="198"/>
      <c r="M336" s="198"/>
      <c r="N336" s="198"/>
      <c r="O336" s="172"/>
      <c r="P336" s="172"/>
      <c r="Q336" s="172"/>
      <c r="R336" s="172"/>
    </row>
    <row r="337" spans="1:18" ht="18.75">
      <c r="A337" s="198"/>
      <c r="B337" s="232"/>
      <c r="C337" s="232"/>
      <c r="D337" s="232"/>
      <c r="E337" s="232"/>
      <c r="F337" s="232"/>
      <c r="G337" s="232"/>
      <c r="H337" s="232"/>
      <c r="I337" s="232"/>
      <c r="J337" s="232"/>
      <c r="K337" s="232"/>
      <c r="L337" s="232"/>
      <c r="M337" s="232"/>
      <c r="N337" s="198"/>
      <c r="O337" s="198"/>
      <c r="P337" s="198"/>
      <c r="Q337" s="198"/>
      <c r="R337" s="198"/>
    </row>
    <row r="338" spans="1:18" ht="15.75">
      <c r="A338" s="172"/>
      <c r="B338" s="172"/>
      <c r="C338" s="173"/>
      <c r="D338" s="172"/>
      <c r="E338" s="172"/>
      <c r="F338" s="172"/>
      <c r="G338" s="172"/>
      <c r="H338" s="172"/>
      <c r="I338" s="172"/>
      <c r="J338" s="173"/>
      <c r="K338" s="172"/>
      <c r="L338" s="172"/>
      <c r="M338" s="172"/>
      <c r="N338" s="172"/>
      <c r="O338" s="172"/>
      <c r="P338" s="172"/>
      <c r="Q338" s="172"/>
      <c r="R338" s="172"/>
    </row>
    <row r="339" spans="1:18" ht="15.75">
      <c r="A339" s="172"/>
      <c r="B339" s="172"/>
      <c r="C339" s="173"/>
      <c r="D339" s="172"/>
      <c r="E339" s="172"/>
      <c r="F339" s="172"/>
      <c r="G339" s="172"/>
      <c r="H339" s="172"/>
      <c r="I339" s="172"/>
      <c r="J339" s="173"/>
      <c r="K339" s="172"/>
      <c r="L339" s="172"/>
      <c r="M339" s="172"/>
      <c r="N339" s="172"/>
      <c r="O339" s="172"/>
      <c r="P339" s="172"/>
      <c r="Q339" s="172"/>
      <c r="R339" s="172"/>
    </row>
    <row r="340" spans="1:18" ht="15">
      <c r="A340" s="469"/>
      <c r="B340" s="469"/>
      <c r="C340" s="469"/>
      <c r="D340" s="469"/>
      <c r="E340" s="469"/>
      <c r="F340" s="469"/>
      <c r="G340" s="469"/>
      <c r="H340" s="469"/>
      <c r="I340" s="469"/>
      <c r="J340" s="469"/>
      <c r="K340" s="469"/>
      <c r="L340" s="469"/>
      <c r="M340" s="469"/>
      <c r="N340" s="469"/>
      <c r="O340" s="469"/>
      <c r="P340" s="469"/>
      <c r="Q340" s="469"/>
      <c r="R340" s="469"/>
    </row>
    <row r="341" spans="1:18" ht="15">
      <c r="A341" s="172"/>
      <c r="B341" s="418" t="s">
        <v>368</v>
      </c>
      <c r="C341" s="172"/>
      <c r="D341" s="172"/>
      <c r="E341" s="172"/>
      <c r="F341" s="172"/>
      <c r="G341" s="172"/>
      <c r="H341" s="172"/>
      <c r="I341" s="172"/>
      <c r="J341" s="172"/>
      <c r="K341" s="172"/>
      <c r="L341" s="172"/>
      <c r="M341" s="172"/>
      <c r="N341" s="172"/>
      <c r="O341" s="172"/>
      <c r="P341" s="172"/>
      <c r="Q341" s="172"/>
      <c r="R341" s="172"/>
    </row>
    <row r="342" ht="15">
      <c r="B342" s="194">
        <v>42041</v>
      </c>
    </row>
    <row r="343" spans="1:18" ht="15.75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</row>
    <row r="344" s="7" customFormat="1" ht="15"/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3:10" ht="15.75">
      <c r="C346" s="72"/>
      <c r="J346" s="72"/>
    </row>
    <row r="347" spans="1:18" ht="15">
      <c r="A347" s="516"/>
      <c r="B347" s="516"/>
      <c r="C347" s="516"/>
      <c r="D347" s="516"/>
      <c r="E347" s="516"/>
      <c r="F347" s="516"/>
      <c r="G347" s="516"/>
      <c r="H347" s="516"/>
      <c r="I347" s="516"/>
      <c r="J347" s="516"/>
      <c r="K347" s="516"/>
      <c r="L347" s="516"/>
      <c r="M347" s="516"/>
      <c r="N347" s="516"/>
      <c r="O347" s="516"/>
      <c r="P347" s="516"/>
      <c r="Q347" s="516"/>
      <c r="R347" s="516"/>
    </row>
    <row r="349" ht="15">
      <c r="B349" s="194"/>
    </row>
    <row r="350" ht="15">
      <c r="A350" s="7"/>
    </row>
    <row r="351" ht="15">
      <c r="A351" s="7"/>
    </row>
    <row r="352" ht="15">
      <c r="A352" s="7"/>
    </row>
    <row r="353" ht="15">
      <c r="A353" s="7"/>
    </row>
    <row r="354" ht="15">
      <c r="A354" s="7"/>
    </row>
    <row r="355" spans="1:18" ht="20.25">
      <c r="A355" s="176"/>
      <c r="B355" s="172"/>
      <c r="C355" s="172"/>
      <c r="D355" s="172"/>
      <c r="E355" s="172"/>
      <c r="F355" s="172"/>
      <c r="G355" s="172"/>
      <c r="H355" s="196"/>
      <c r="I355" s="172"/>
      <c r="J355" s="172"/>
      <c r="K355" s="172"/>
      <c r="L355" s="172"/>
      <c r="M355" s="172"/>
      <c r="N355" s="172"/>
      <c r="O355" s="172"/>
      <c r="P355" s="172"/>
      <c r="Q355" s="172"/>
      <c r="R355" s="172"/>
    </row>
    <row r="356" spans="1:18" ht="15.75">
      <c r="A356" s="176"/>
      <c r="B356" s="172"/>
      <c r="C356" s="172"/>
      <c r="D356" s="172"/>
      <c r="E356" s="172"/>
      <c r="F356" s="172"/>
      <c r="G356" s="172"/>
      <c r="H356" s="172"/>
      <c r="I356" s="172"/>
      <c r="J356" s="172"/>
      <c r="K356" s="173" t="s">
        <v>137</v>
      </c>
      <c r="L356" s="172"/>
      <c r="M356" s="172"/>
      <c r="N356" s="172"/>
      <c r="O356" s="172"/>
      <c r="P356" s="172"/>
      <c r="Q356" s="172"/>
      <c r="R356" s="172"/>
    </row>
    <row r="357" spans="1:18" ht="15.75">
      <c r="A357" s="156"/>
      <c r="B357" s="173"/>
      <c r="C357" s="173"/>
      <c r="D357" s="173"/>
      <c r="E357" s="173"/>
      <c r="F357" s="173"/>
      <c r="G357" s="173"/>
      <c r="H357" s="173"/>
      <c r="I357" s="173"/>
      <c r="J357" s="200" t="s">
        <v>359</v>
      </c>
      <c r="K357" s="200"/>
      <c r="L357" s="200"/>
      <c r="M357" s="200"/>
      <c r="N357" s="200"/>
      <c r="O357" s="173"/>
      <c r="P357" s="173"/>
      <c r="Q357" s="173"/>
      <c r="R357" s="173"/>
    </row>
    <row r="358" spans="1:18" ht="15.75">
      <c r="A358" s="156"/>
      <c r="B358" s="173"/>
      <c r="C358" s="173"/>
      <c r="D358" s="173"/>
      <c r="E358" s="173"/>
      <c r="F358" s="173"/>
      <c r="G358" s="173"/>
      <c r="H358" s="173"/>
      <c r="I358" s="173"/>
      <c r="J358" s="173" t="s">
        <v>378</v>
      </c>
      <c r="K358" s="173"/>
      <c r="L358" s="173"/>
      <c r="M358" s="173"/>
      <c r="N358" s="173"/>
      <c r="O358" s="173"/>
      <c r="P358" s="173"/>
      <c r="Q358" s="173"/>
      <c r="R358" s="173"/>
    </row>
    <row r="359" spans="1:18" ht="15.75">
      <c r="A359" s="156"/>
      <c r="B359" s="173"/>
      <c r="C359" s="173"/>
      <c r="D359" s="173"/>
      <c r="E359" s="173"/>
      <c r="F359" s="173"/>
      <c r="G359" s="173"/>
      <c r="H359" s="173"/>
      <c r="I359" s="173"/>
      <c r="J359" s="173" t="s">
        <v>379</v>
      </c>
      <c r="K359" s="173"/>
      <c r="L359" s="173"/>
      <c r="M359" s="173"/>
      <c r="N359" s="173"/>
      <c r="O359" s="200"/>
      <c r="P359" s="200"/>
      <c r="Q359" s="200"/>
      <c r="R359" s="200"/>
    </row>
    <row r="360" spans="1:18" ht="15.75">
      <c r="A360" s="156"/>
      <c r="B360" s="512" t="s">
        <v>369</v>
      </c>
      <c r="C360" s="512"/>
      <c r="D360" s="512"/>
      <c r="E360" s="512"/>
      <c r="F360" s="512"/>
      <c r="G360" s="512"/>
      <c r="H360" s="512"/>
      <c r="I360" s="173"/>
      <c r="J360" s="173"/>
      <c r="K360" s="173"/>
      <c r="L360" s="173"/>
      <c r="M360" s="173"/>
      <c r="N360" s="173"/>
      <c r="O360" s="173"/>
      <c r="P360" s="173"/>
      <c r="Q360" s="173"/>
      <c r="R360" s="173"/>
    </row>
    <row r="361" spans="1:18" ht="18.75">
      <c r="A361" s="156"/>
      <c r="B361" s="501" t="s">
        <v>54</v>
      </c>
      <c r="C361" s="501"/>
      <c r="D361" s="501"/>
      <c r="E361" s="501"/>
      <c r="F361" s="501"/>
      <c r="G361" s="501"/>
      <c r="H361" s="501"/>
      <c r="I361" s="173"/>
      <c r="J361" s="173"/>
      <c r="K361" s="173"/>
      <c r="L361" s="173"/>
      <c r="M361" s="173"/>
      <c r="N361" s="173"/>
      <c r="O361" s="173"/>
      <c r="P361" s="173"/>
      <c r="Q361" s="173"/>
      <c r="R361" s="173"/>
    </row>
    <row r="362" spans="1:18" ht="15.75">
      <c r="A362" s="156"/>
      <c r="B362" s="505" t="s">
        <v>16</v>
      </c>
      <c r="C362" s="505"/>
      <c r="D362" s="505"/>
      <c r="E362" s="505"/>
      <c r="F362" s="505"/>
      <c r="G362" s="505"/>
      <c r="H362" s="505"/>
      <c r="I362" s="505"/>
      <c r="J362" s="156"/>
      <c r="K362" s="156"/>
      <c r="L362" s="156"/>
      <c r="M362" s="156"/>
      <c r="N362" s="156"/>
      <c r="O362" s="156"/>
      <c r="P362" s="156"/>
      <c r="Q362" s="156"/>
      <c r="R362" s="173"/>
    </row>
    <row r="363" spans="1:18" ht="15.75">
      <c r="A363" s="156"/>
      <c r="B363" s="173"/>
      <c r="C363" s="173"/>
      <c r="D363" s="173"/>
      <c r="E363" s="173"/>
      <c r="F363" s="173"/>
      <c r="G363" s="173"/>
      <c r="H363" s="173"/>
      <c r="I363" s="173"/>
      <c r="J363" s="156"/>
      <c r="K363" s="156"/>
      <c r="L363" s="156"/>
      <c r="M363" s="156"/>
      <c r="N363" s="156"/>
      <c r="O363" s="156"/>
      <c r="P363" s="156"/>
      <c r="Q363" s="156"/>
      <c r="R363" s="173"/>
    </row>
    <row r="364" spans="1:18" ht="15.75">
      <c r="A364" s="156"/>
      <c r="B364" s="173"/>
      <c r="C364" s="173"/>
      <c r="D364" s="173"/>
      <c r="E364" s="173"/>
      <c r="F364" s="173"/>
      <c r="G364" s="173"/>
      <c r="H364" s="173"/>
      <c r="I364" s="173"/>
      <c r="J364" s="173"/>
      <c r="K364" s="173"/>
      <c r="L364" s="173"/>
      <c r="M364" s="173"/>
      <c r="N364" s="173"/>
      <c r="O364" s="173"/>
      <c r="P364" s="173"/>
      <c r="Q364" s="173"/>
      <c r="R364" s="173"/>
    </row>
    <row r="365" spans="1:18" ht="15.75">
      <c r="A365" s="156"/>
      <c r="B365" s="173"/>
      <c r="C365" s="173"/>
      <c r="D365" s="173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</row>
    <row r="366" spans="1:18" ht="12.75" customHeight="1">
      <c r="A366" s="574" t="s">
        <v>1</v>
      </c>
      <c r="B366" s="202" t="s">
        <v>2</v>
      </c>
      <c r="C366" s="203" t="s">
        <v>4</v>
      </c>
      <c r="D366" s="504" t="s">
        <v>321</v>
      </c>
      <c r="E366" s="504" t="s">
        <v>322</v>
      </c>
      <c r="F366" s="496" t="s">
        <v>7</v>
      </c>
      <c r="G366" s="497"/>
      <c r="H366" s="497"/>
      <c r="I366" s="497"/>
      <c r="J366" s="497"/>
      <c r="K366" s="476" t="s">
        <v>77</v>
      </c>
      <c r="L366" s="497" t="s">
        <v>8</v>
      </c>
      <c r="M366" s="497"/>
      <c r="N366" s="517"/>
      <c r="O366" s="202" t="s">
        <v>10</v>
      </c>
      <c r="P366" s="493" t="s">
        <v>339</v>
      </c>
      <c r="Q366" s="473" t="s">
        <v>340</v>
      </c>
      <c r="R366" s="203" t="s">
        <v>13</v>
      </c>
    </row>
    <row r="367" spans="1:22" ht="18" customHeight="1">
      <c r="A367" s="587"/>
      <c r="B367" s="209" t="s">
        <v>3</v>
      </c>
      <c r="C367" s="209" t="s">
        <v>5</v>
      </c>
      <c r="D367" s="504"/>
      <c r="E367" s="504"/>
      <c r="F367" s="485"/>
      <c r="G367" s="361"/>
      <c r="H367" s="485" t="s">
        <v>9</v>
      </c>
      <c r="I367" s="485"/>
      <c r="J367" s="479">
        <v>0.5</v>
      </c>
      <c r="K367" s="477"/>
      <c r="L367" s="489" t="s">
        <v>113</v>
      </c>
      <c r="M367" s="489" t="s">
        <v>114</v>
      </c>
      <c r="N367" s="482"/>
      <c r="O367" s="209" t="s">
        <v>11</v>
      </c>
      <c r="P367" s="494"/>
      <c r="Q367" s="474"/>
      <c r="R367" s="210" t="s">
        <v>11</v>
      </c>
      <c r="V367" s="3" t="s">
        <v>157</v>
      </c>
    </row>
    <row r="368" spans="1:18" ht="15.75">
      <c r="A368" s="587"/>
      <c r="B368" s="209"/>
      <c r="C368" s="209" t="s">
        <v>6</v>
      </c>
      <c r="D368" s="504"/>
      <c r="E368" s="504"/>
      <c r="F368" s="480"/>
      <c r="G368" s="362"/>
      <c r="H368" s="480"/>
      <c r="I368" s="480"/>
      <c r="J368" s="480"/>
      <c r="K368" s="477"/>
      <c r="L368" s="483"/>
      <c r="M368" s="483"/>
      <c r="N368" s="483"/>
      <c r="O368" s="363" t="s">
        <v>12</v>
      </c>
      <c r="P368" s="494"/>
      <c r="Q368" s="474"/>
      <c r="R368" s="210" t="s">
        <v>14</v>
      </c>
    </row>
    <row r="369" spans="1:22" ht="15.75">
      <c r="A369" s="369"/>
      <c r="B369" s="209"/>
      <c r="C369" s="209"/>
      <c r="D369" s="504"/>
      <c r="E369" s="504"/>
      <c r="F369" s="480"/>
      <c r="G369" s="362"/>
      <c r="H369" s="480"/>
      <c r="I369" s="480"/>
      <c r="J369" s="480"/>
      <c r="K369" s="477"/>
      <c r="L369" s="483"/>
      <c r="M369" s="483"/>
      <c r="N369" s="483"/>
      <c r="O369" s="363" t="s">
        <v>115</v>
      </c>
      <c r="P369" s="494"/>
      <c r="Q369" s="474"/>
      <c r="R369" s="210" t="s">
        <v>115</v>
      </c>
      <c r="V369" s="16">
        <f>F396+G396+H396+I396+J396+K396+L396+M396+F588+G588+H588+I588+J588+K588+L588+M588+N588</f>
        <v>62389.575</v>
      </c>
    </row>
    <row r="370" spans="1:18" ht="37.5" customHeight="1">
      <c r="A370" s="217"/>
      <c r="B370" s="214"/>
      <c r="C370" s="214"/>
      <c r="D370" s="504"/>
      <c r="E370" s="504"/>
      <c r="F370" s="481"/>
      <c r="G370" s="364"/>
      <c r="H370" s="481"/>
      <c r="I370" s="481"/>
      <c r="J370" s="481"/>
      <c r="K370" s="478"/>
      <c r="L370" s="484"/>
      <c r="M370" s="484"/>
      <c r="N370" s="484"/>
      <c r="O370" s="213"/>
      <c r="P370" s="495"/>
      <c r="Q370" s="475"/>
      <c r="R370" s="216"/>
    </row>
    <row r="371" spans="1:18" ht="15.75">
      <c r="A371" s="370">
        <v>1</v>
      </c>
      <c r="B371" s="442" t="s">
        <v>377</v>
      </c>
      <c r="C371" s="214">
        <v>1</v>
      </c>
      <c r="D371" s="371">
        <v>2912</v>
      </c>
      <c r="E371" s="221">
        <v>10</v>
      </c>
      <c r="F371" s="364"/>
      <c r="G371" s="364"/>
      <c r="H371" s="364"/>
      <c r="I371" s="364"/>
      <c r="J371" s="222">
        <f>D371*0.5</f>
        <v>1456</v>
      </c>
      <c r="K371" s="222">
        <f>(D371+J371)*50%</f>
        <v>2184</v>
      </c>
      <c r="L371" s="364"/>
      <c r="M371" s="364"/>
      <c r="N371" s="364"/>
      <c r="O371" s="223">
        <f>D371*C371+F371+H371+I371+J371+K371+L371+M371+N371</f>
        <v>6552</v>
      </c>
      <c r="P371" s="223"/>
      <c r="Q371" s="223">
        <f>O371+P371</f>
        <v>6552</v>
      </c>
      <c r="R371" s="223">
        <f>O371*12</f>
        <v>78624</v>
      </c>
    </row>
    <row r="372" spans="1:18" ht="15.75">
      <c r="A372" s="370">
        <v>2</v>
      </c>
      <c r="B372" s="216" t="s">
        <v>49</v>
      </c>
      <c r="C372" s="216">
        <v>1</v>
      </c>
      <c r="D372" s="220">
        <v>2768</v>
      </c>
      <c r="E372" s="221">
        <v>9</v>
      </c>
      <c r="F372" s="370"/>
      <c r="G372" s="370"/>
      <c r="H372" s="370"/>
      <c r="I372" s="370"/>
      <c r="J372" s="222">
        <f>D372*0.5</f>
        <v>1384</v>
      </c>
      <c r="K372" s="222">
        <f>(D372+J372)*25%</f>
        <v>1038</v>
      </c>
      <c r="L372" s="370"/>
      <c r="M372" s="370"/>
      <c r="N372" s="370"/>
      <c r="O372" s="223">
        <f aca="true" t="shared" si="28" ref="O372:O379">D372*C372+F372+H372+I372+J372+K372+L372+M372+N372</f>
        <v>5190</v>
      </c>
      <c r="P372" s="223"/>
      <c r="Q372" s="223">
        <f aca="true" t="shared" si="29" ref="Q372:Q393">O372+P372</f>
        <v>5190</v>
      </c>
      <c r="R372" s="223">
        <f aca="true" t="shared" si="30" ref="R372:R382">O372*12</f>
        <v>62280</v>
      </c>
    </row>
    <row r="373" spans="1:18" ht="30.75" customHeight="1">
      <c r="A373" s="370">
        <v>3</v>
      </c>
      <c r="B373" s="161" t="s">
        <v>83</v>
      </c>
      <c r="C373" s="161">
        <v>1</v>
      </c>
      <c r="D373" s="220">
        <v>2768</v>
      </c>
      <c r="E373" s="221">
        <v>9</v>
      </c>
      <c r="F373" s="161"/>
      <c r="G373" s="161"/>
      <c r="H373" s="161"/>
      <c r="I373" s="161"/>
      <c r="J373" s="222">
        <f>D373*0.5</f>
        <v>1384</v>
      </c>
      <c r="K373" s="222">
        <f>(D373+J373)*25%</f>
        <v>1038</v>
      </c>
      <c r="L373" s="161"/>
      <c r="M373" s="370"/>
      <c r="N373" s="161"/>
      <c r="O373" s="223">
        <f>D373*C373+F373+H373+I373+J373+K373+L373+M373+N373</f>
        <v>5190</v>
      </c>
      <c r="P373" s="223"/>
      <c r="Q373" s="223">
        <f t="shared" si="29"/>
        <v>5190</v>
      </c>
      <c r="R373" s="223">
        <f>O373*12</f>
        <v>62280</v>
      </c>
    </row>
    <row r="374" spans="1:18" ht="15.75">
      <c r="A374" s="370">
        <v>4</v>
      </c>
      <c r="B374" s="161" t="s">
        <v>85</v>
      </c>
      <c r="C374" s="161">
        <v>1</v>
      </c>
      <c r="D374" s="371">
        <v>2912</v>
      </c>
      <c r="E374" s="221">
        <v>10</v>
      </c>
      <c r="F374" s="161"/>
      <c r="G374" s="161"/>
      <c r="H374" s="161"/>
      <c r="I374" s="161"/>
      <c r="J374" s="222">
        <f>D374*C374*50%</f>
        <v>1456</v>
      </c>
      <c r="K374" s="170">
        <f>(D374*C374+J374)*50%</f>
        <v>2184</v>
      </c>
      <c r="L374" s="161"/>
      <c r="M374" s="370"/>
      <c r="N374" s="161"/>
      <c r="O374" s="223">
        <f t="shared" si="28"/>
        <v>6552</v>
      </c>
      <c r="P374" s="223"/>
      <c r="Q374" s="223">
        <f t="shared" si="29"/>
        <v>6552</v>
      </c>
      <c r="R374" s="223">
        <f t="shared" si="30"/>
        <v>78624</v>
      </c>
    </row>
    <row r="375" spans="1:18" ht="31.5" customHeight="1">
      <c r="A375" s="370">
        <v>5</v>
      </c>
      <c r="B375" s="161" t="s">
        <v>85</v>
      </c>
      <c r="C375" s="161">
        <v>2</v>
      </c>
      <c r="D375" s="220">
        <v>2912</v>
      </c>
      <c r="E375" s="221">
        <v>10</v>
      </c>
      <c r="F375" s="161"/>
      <c r="G375" s="161"/>
      <c r="H375" s="161"/>
      <c r="I375" s="161"/>
      <c r="J375" s="222">
        <f>D375*C375*50%</f>
        <v>2912</v>
      </c>
      <c r="K375" s="170">
        <f>(D375*C375+J375)*50%</f>
        <v>4368</v>
      </c>
      <c r="L375" s="161"/>
      <c r="M375" s="370"/>
      <c r="N375" s="161"/>
      <c r="O375" s="223">
        <f t="shared" si="28"/>
        <v>13104</v>
      </c>
      <c r="P375" s="223"/>
      <c r="Q375" s="223">
        <f t="shared" si="29"/>
        <v>13104</v>
      </c>
      <c r="R375" s="223">
        <f t="shared" si="30"/>
        <v>157248</v>
      </c>
    </row>
    <row r="376" spans="1:18" ht="15.75">
      <c r="A376" s="370">
        <v>6</v>
      </c>
      <c r="B376" s="161" t="s">
        <v>102</v>
      </c>
      <c r="C376" s="161">
        <v>1</v>
      </c>
      <c r="D376" s="220">
        <v>2768</v>
      </c>
      <c r="E376" s="221">
        <v>9</v>
      </c>
      <c r="F376" s="161"/>
      <c r="G376" s="161"/>
      <c r="H376" s="161"/>
      <c r="I376" s="161"/>
      <c r="J376" s="170">
        <f>D376*0.5*C376</f>
        <v>1384</v>
      </c>
      <c r="K376" s="170">
        <f>(D376*C376+J376)*25%</f>
        <v>1038</v>
      </c>
      <c r="L376" s="161"/>
      <c r="M376" s="370"/>
      <c r="N376" s="161"/>
      <c r="O376" s="223">
        <f t="shared" si="28"/>
        <v>5190</v>
      </c>
      <c r="P376" s="223"/>
      <c r="Q376" s="223">
        <f t="shared" si="29"/>
        <v>5190</v>
      </c>
      <c r="R376" s="223">
        <f t="shared" si="30"/>
        <v>62280</v>
      </c>
    </row>
    <row r="377" spans="1:18" ht="27.75" customHeight="1">
      <c r="A377" s="372">
        <v>7</v>
      </c>
      <c r="B377" s="373" t="s">
        <v>257</v>
      </c>
      <c r="C377" s="161">
        <v>1</v>
      </c>
      <c r="D377" s="230">
        <v>2624</v>
      </c>
      <c r="E377" s="221">
        <v>8</v>
      </c>
      <c r="F377" s="161"/>
      <c r="G377" s="161"/>
      <c r="H377" s="161"/>
      <c r="I377" s="161"/>
      <c r="J377" s="170">
        <f>D377*0.5*C377</f>
        <v>1312</v>
      </c>
      <c r="K377" s="170">
        <f>(D377*C377+J377)*0.25</f>
        <v>984</v>
      </c>
      <c r="L377" s="161"/>
      <c r="M377" s="370"/>
      <c r="N377" s="161"/>
      <c r="O377" s="223">
        <f t="shared" si="28"/>
        <v>4920</v>
      </c>
      <c r="P377" s="223"/>
      <c r="Q377" s="223">
        <f t="shared" si="29"/>
        <v>4920</v>
      </c>
      <c r="R377" s="223">
        <f t="shared" si="30"/>
        <v>59040</v>
      </c>
    </row>
    <row r="378" spans="1:18" ht="29.25" customHeight="1">
      <c r="A378" s="372">
        <v>8</v>
      </c>
      <c r="B378" s="161" t="s">
        <v>47</v>
      </c>
      <c r="C378" s="161">
        <v>2</v>
      </c>
      <c r="D378" s="230">
        <v>2464</v>
      </c>
      <c r="E378" s="221">
        <v>7</v>
      </c>
      <c r="F378" s="161"/>
      <c r="G378" s="161"/>
      <c r="H378" s="161"/>
      <c r="I378" s="161"/>
      <c r="J378" s="170">
        <f>D378*0.5*C378</f>
        <v>2464</v>
      </c>
      <c r="K378" s="170">
        <f>(D378*C378+J378)*0.25</f>
        <v>1848</v>
      </c>
      <c r="L378" s="161"/>
      <c r="M378" s="370"/>
      <c r="N378" s="161"/>
      <c r="O378" s="223">
        <f t="shared" si="28"/>
        <v>9240</v>
      </c>
      <c r="P378" s="223"/>
      <c r="Q378" s="223">
        <f t="shared" si="29"/>
        <v>9240</v>
      </c>
      <c r="R378" s="223">
        <f t="shared" si="30"/>
        <v>110880</v>
      </c>
    </row>
    <row r="379" spans="1:18" ht="32.25" customHeight="1">
      <c r="A379" s="370">
        <v>9</v>
      </c>
      <c r="B379" s="161" t="s">
        <v>23</v>
      </c>
      <c r="C379" s="161">
        <v>1</v>
      </c>
      <c r="D379" s="220">
        <v>2176</v>
      </c>
      <c r="E379" s="221">
        <v>5</v>
      </c>
      <c r="F379" s="161"/>
      <c r="G379" s="161"/>
      <c r="H379" s="161"/>
      <c r="I379" s="161"/>
      <c r="J379" s="161"/>
      <c r="K379" s="170"/>
      <c r="L379" s="161"/>
      <c r="M379" s="370"/>
      <c r="N379" s="161"/>
      <c r="O379" s="223">
        <f t="shared" si="28"/>
        <v>2176</v>
      </c>
      <c r="P379" s="223">
        <f aca="true" t="shared" si="31" ref="P379:P392">3200*C379-(O379-L379-M379)</f>
        <v>1024</v>
      </c>
      <c r="Q379" s="223">
        <f t="shared" si="29"/>
        <v>3200</v>
      </c>
      <c r="R379" s="223">
        <f t="shared" si="30"/>
        <v>26112</v>
      </c>
    </row>
    <row r="380" spans="1:18" ht="49.5" customHeight="1">
      <c r="A380" s="370">
        <v>10</v>
      </c>
      <c r="B380" s="374" t="s">
        <v>206</v>
      </c>
      <c r="C380" s="161">
        <v>2</v>
      </c>
      <c r="D380" s="220">
        <v>2032</v>
      </c>
      <c r="E380" s="221">
        <v>4</v>
      </c>
      <c r="F380" s="161"/>
      <c r="G380" s="161"/>
      <c r="H380" s="170">
        <f>D380*C380*0.2</f>
        <v>812.8000000000001</v>
      </c>
      <c r="I380" s="161"/>
      <c r="J380" s="170">
        <f>D380*50%</f>
        <v>1016</v>
      </c>
      <c r="K380" s="170"/>
      <c r="L380" s="161"/>
      <c r="M380" s="370"/>
      <c r="N380" s="161"/>
      <c r="O380" s="223">
        <f>D380*C380+F380+H380+I380+J380+K380+L380+M380+N380</f>
        <v>5892.8</v>
      </c>
      <c r="P380" s="223">
        <f t="shared" si="31"/>
        <v>507.1999999999998</v>
      </c>
      <c r="Q380" s="223">
        <f t="shared" si="29"/>
        <v>6400</v>
      </c>
      <c r="R380" s="223">
        <f t="shared" si="30"/>
        <v>70713.6</v>
      </c>
    </row>
    <row r="381" spans="1:21" ht="15" customHeight="1">
      <c r="A381" s="370">
        <v>11</v>
      </c>
      <c r="B381" s="161" t="s">
        <v>27</v>
      </c>
      <c r="C381" s="161">
        <v>10</v>
      </c>
      <c r="D381" s="220">
        <v>1744</v>
      </c>
      <c r="E381" s="221">
        <v>2</v>
      </c>
      <c r="F381" s="161"/>
      <c r="G381" s="161"/>
      <c r="H381" s="161"/>
      <c r="I381" s="161"/>
      <c r="J381" s="161"/>
      <c r="K381" s="170"/>
      <c r="L381" s="161"/>
      <c r="M381" s="375">
        <f>D381*33%*C381</f>
        <v>5755.2</v>
      </c>
      <c r="N381" s="161"/>
      <c r="O381" s="223">
        <f>D381*C381+F381+H381+I381+J381+K381+L381+M381+N381</f>
        <v>23195.2</v>
      </c>
      <c r="P381" s="440">
        <f>3200*C381-(D381*C381)</f>
        <v>14560</v>
      </c>
      <c r="Q381" s="223">
        <f t="shared" si="29"/>
        <v>37755.2</v>
      </c>
      <c r="R381" s="223">
        <f t="shared" si="30"/>
        <v>278342.4</v>
      </c>
      <c r="T381" s="3" t="s">
        <v>93</v>
      </c>
      <c r="U381" s="3" t="s">
        <v>82</v>
      </c>
    </row>
    <row r="382" spans="1:21" ht="0.75" customHeight="1" hidden="1">
      <c r="A382" s="370">
        <v>11</v>
      </c>
      <c r="B382" s="161" t="s">
        <v>203</v>
      </c>
      <c r="C382" s="376"/>
      <c r="D382" s="220"/>
      <c r="E382" s="221">
        <v>8</v>
      </c>
      <c r="F382" s="161"/>
      <c r="G382" s="161"/>
      <c r="H382" s="161"/>
      <c r="I382" s="161"/>
      <c r="J382" s="161"/>
      <c r="K382" s="170"/>
      <c r="L382" s="161"/>
      <c r="M382" s="370"/>
      <c r="N382" s="161"/>
      <c r="O382" s="223">
        <f>D382*C382+F382+H382+I382+J382+K382+L382+M382+N382</f>
        <v>0</v>
      </c>
      <c r="P382" s="223">
        <f t="shared" si="31"/>
        <v>0</v>
      </c>
      <c r="Q382" s="223">
        <f t="shared" si="29"/>
        <v>0</v>
      </c>
      <c r="R382" s="223">
        <f t="shared" si="30"/>
        <v>0</v>
      </c>
      <c r="T382" s="3">
        <f>C371+C372+C373+C376+C377+C379+C391+C572+C575+C576+C578+C580+C382+C393+C375+C390+C374</f>
        <v>17.25</v>
      </c>
      <c r="U382" s="3">
        <f>C380+C381+C383+C386+C387+C388+C389+C392+C577+C582+C579+C581</f>
        <v>23.75</v>
      </c>
    </row>
    <row r="383" spans="1:21" ht="0.75" customHeight="1" hidden="1">
      <c r="A383" s="470">
        <v>12</v>
      </c>
      <c r="B383" s="579" t="s">
        <v>79</v>
      </c>
      <c r="C383" s="613">
        <v>0.25</v>
      </c>
      <c r="D383" s="220"/>
      <c r="E383" s="221"/>
      <c r="F383" s="574"/>
      <c r="G383" s="365"/>
      <c r="H383" s="574"/>
      <c r="I383" s="574"/>
      <c r="J383" s="574"/>
      <c r="K383" s="574"/>
      <c r="L383" s="571">
        <f>D384*10%*C383</f>
        <v>43.6</v>
      </c>
      <c r="M383" s="637"/>
      <c r="N383" s="574"/>
      <c r="O383" s="571">
        <f>D384*C383+F383+G384+H383+I383+J383+K383+L383+M383+N383</f>
        <v>479.6</v>
      </c>
      <c r="P383" s="223">
        <f t="shared" si="31"/>
        <v>364</v>
      </c>
      <c r="Q383" s="223">
        <f t="shared" si="29"/>
        <v>843.6</v>
      </c>
      <c r="R383" s="571">
        <f>O383*12</f>
        <v>5755.200000000001</v>
      </c>
      <c r="T383" s="16">
        <f>C396+C588</f>
        <v>44</v>
      </c>
      <c r="U383" s="3">
        <f>T382+U382</f>
        <v>41</v>
      </c>
    </row>
    <row r="384" spans="1:18" ht="15.75">
      <c r="A384" s="472"/>
      <c r="B384" s="581"/>
      <c r="C384" s="614"/>
      <c r="D384" s="220">
        <v>1744</v>
      </c>
      <c r="E384" s="221">
        <v>2</v>
      </c>
      <c r="F384" s="575"/>
      <c r="G384" s="217"/>
      <c r="H384" s="575"/>
      <c r="I384" s="575"/>
      <c r="J384" s="575"/>
      <c r="K384" s="575"/>
      <c r="L384" s="572"/>
      <c r="M384" s="638"/>
      <c r="N384" s="575"/>
      <c r="O384" s="572"/>
      <c r="P384" s="223">
        <f t="shared" si="31"/>
        <v>0</v>
      </c>
      <c r="Q384" s="223">
        <f t="shared" si="29"/>
        <v>0</v>
      </c>
      <c r="R384" s="572"/>
    </row>
    <row r="385" spans="1:19" ht="15.75" customHeight="1" hidden="1">
      <c r="A385" s="367"/>
      <c r="B385" s="161"/>
      <c r="C385" s="161"/>
      <c r="D385" s="220"/>
      <c r="E385" s="405"/>
      <c r="F385" s="161"/>
      <c r="G385" s="161"/>
      <c r="H385" s="161"/>
      <c r="I385" s="574"/>
      <c r="J385" s="161"/>
      <c r="K385" s="170"/>
      <c r="L385" s="161"/>
      <c r="M385" s="574"/>
      <c r="N385" s="161"/>
      <c r="O385" s="223">
        <f aca="true" t="shared" si="32" ref="O385:O393">D385*C385+F385+H385+I385+J385+K385+L385+M385+N385</f>
        <v>0</v>
      </c>
      <c r="P385" s="223">
        <f t="shared" si="31"/>
        <v>0</v>
      </c>
      <c r="Q385" s="223">
        <f t="shared" si="29"/>
        <v>0</v>
      </c>
      <c r="R385" s="223">
        <f>O385*12</f>
        <v>0</v>
      </c>
      <c r="S385" s="16"/>
    </row>
    <row r="386" spans="1:18" ht="31.5" customHeight="1">
      <c r="A386" s="470">
        <v>13</v>
      </c>
      <c r="B386" s="579" t="s">
        <v>182</v>
      </c>
      <c r="C386" s="161">
        <v>1</v>
      </c>
      <c r="D386" s="220">
        <v>2176</v>
      </c>
      <c r="E386" s="221">
        <v>5</v>
      </c>
      <c r="F386" s="161"/>
      <c r="G386" s="161"/>
      <c r="H386" s="161"/>
      <c r="I386" s="575"/>
      <c r="J386" s="161"/>
      <c r="K386" s="170"/>
      <c r="L386" s="161"/>
      <c r="M386" s="575"/>
      <c r="N386" s="161"/>
      <c r="O386" s="223">
        <f t="shared" si="32"/>
        <v>2176</v>
      </c>
      <c r="P386" s="223">
        <f t="shared" si="31"/>
        <v>1024</v>
      </c>
      <c r="Q386" s="223">
        <f t="shared" si="29"/>
        <v>3200</v>
      </c>
      <c r="R386" s="223">
        <f aca="true" t="shared" si="33" ref="R386:R391">O386*12</f>
        <v>26112</v>
      </c>
    </row>
    <row r="387" spans="1:18" ht="48.75" customHeight="1">
      <c r="A387" s="471"/>
      <c r="B387" s="580"/>
      <c r="C387" s="161">
        <v>5</v>
      </c>
      <c r="D387" s="220">
        <v>2176</v>
      </c>
      <c r="E387" s="221">
        <v>5</v>
      </c>
      <c r="F387" s="161"/>
      <c r="G387" s="161"/>
      <c r="H387" s="161"/>
      <c r="I387" s="367"/>
      <c r="J387" s="161"/>
      <c r="K387" s="170"/>
      <c r="L387" s="161"/>
      <c r="M387" s="206"/>
      <c r="N387" s="161"/>
      <c r="O387" s="223">
        <f t="shared" si="32"/>
        <v>10880</v>
      </c>
      <c r="P387" s="223">
        <f t="shared" si="31"/>
        <v>5120</v>
      </c>
      <c r="Q387" s="223">
        <f t="shared" si="29"/>
        <v>16000</v>
      </c>
      <c r="R387" s="223">
        <f t="shared" si="33"/>
        <v>130560</v>
      </c>
    </row>
    <row r="388" spans="1:18" ht="20.25" customHeight="1">
      <c r="A388" s="472"/>
      <c r="B388" s="581"/>
      <c r="C388" s="161">
        <v>1</v>
      </c>
      <c r="D388" s="220">
        <v>2032</v>
      </c>
      <c r="E388" s="221">
        <v>4</v>
      </c>
      <c r="F388" s="161"/>
      <c r="G388" s="161"/>
      <c r="H388" s="161"/>
      <c r="I388" s="367"/>
      <c r="J388" s="161"/>
      <c r="K388" s="170"/>
      <c r="L388" s="161"/>
      <c r="M388" s="206"/>
      <c r="N388" s="161"/>
      <c r="O388" s="223">
        <f t="shared" si="32"/>
        <v>2032</v>
      </c>
      <c r="P388" s="223">
        <f t="shared" si="31"/>
        <v>1168</v>
      </c>
      <c r="Q388" s="223">
        <f t="shared" si="29"/>
        <v>3200</v>
      </c>
      <c r="R388" s="223">
        <f t="shared" si="33"/>
        <v>24384</v>
      </c>
    </row>
    <row r="389" spans="1:19" ht="15.75">
      <c r="A389" s="367">
        <v>14</v>
      </c>
      <c r="B389" s="161" t="s">
        <v>237</v>
      </c>
      <c r="C389" s="161">
        <v>1</v>
      </c>
      <c r="D389" s="220">
        <v>2768</v>
      </c>
      <c r="E389" s="221">
        <v>9</v>
      </c>
      <c r="F389" s="161"/>
      <c r="G389" s="161"/>
      <c r="H389" s="161"/>
      <c r="I389" s="161"/>
      <c r="J389" s="161">
        <f>D389*50%</f>
        <v>1384</v>
      </c>
      <c r="K389" s="170">
        <f>(D389+J389)*25%</f>
        <v>1038</v>
      </c>
      <c r="L389" s="161"/>
      <c r="M389" s="206"/>
      <c r="N389" s="161"/>
      <c r="O389" s="223">
        <f t="shared" si="32"/>
        <v>5190</v>
      </c>
      <c r="P389" s="223"/>
      <c r="Q389" s="223">
        <f>O389+P389</f>
        <v>5190</v>
      </c>
      <c r="R389" s="223">
        <f t="shared" si="33"/>
        <v>62280</v>
      </c>
      <c r="S389" s="3">
        <f>D379+D380*C380+D381*C381+D382*C382+D383*C383+D386+D387*C387+D388+D389+D392+D577*C577+D578*C578+D582*C582</f>
        <v>44944</v>
      </c>
    </row>
    <row r="390" spans="1:18" ht="15.75">
      <c r="A390" s="367">
        <v>15</v>
      </c>
      <c r="B390" s="161" t="s">
        <v>66</v>
      </c>
      <c r="C390" s="161">
        <v>0.25</v>
      </c>
      <c r="D390" s="220">
        <v>2164</v>
      </c>
      <c r="E390" s="221">
        <v>7</v>
      </c>
      <c r="F390" s="161"/>
      <c r="G390" s="161"/>
      <c r="H390" s="161"/>
      <c r="I390" s="161"/>
      <c r="J390" s="161">
        <f>D390*J367*C390</f>
        <v>270.5</v>
      </c>
      <c r="K390" s="170">
        <f>(D390*C390+J390)*25%</f>
        <v>202.875</v>
      </c>
      <c r="L390" s="161"/>
      <c r="M390" s="377"/>
      <c r="N390" s="161"/>
      <c r="O390" s="223">
        <f t="shared" si="32"/>
        <v>1014.375</v>
      </c>
      <c r="P390" s="223"/>
      <c r="Q390" s="223">
        <f t="shared" si="29"/>
        <v>1014.375</v>
      </c>
      <c r="R390" s="223">
        <f t="shared" si="33"/>
        <v>12172.5</v>
      </c>
    </row>
    <row r="391" spans="1:18" ht="15.75" hidden="1">
      <c r="A391" s="367"/>
      <c r="B391" s="161"/>
      <c r="C391" s="161"/>
      <c r="D391" s="230"/>
      <c r="E391" s="406"/>
      <c r="F391" s="161"/>
      <c r="G391" s="161"/>
      <c r="H391" s="161"/>
      <c r="I391" s="161"/>
      <c r="J391" s="161"/>
      <c r="K391" s="170"/>
      <c r="L391" s="161"/>
      <c r="M391" s="377"/>
      <c r="N391" s="161"/>
      <c r="O391" s="223">
        <f t="shared" si="32"/>
        <v>0</v>
      </c>
      <c r="P391" s="223">
        <f t="shared" si="31"/>
        <v>0</v>
      </c>
      <c r="Q391" s="223">
        <f t="shared" si="29"/>
        <v>0</v>
      </c>
      <c r="R391" s="223">
        <f t="shared" si="33"/>
        <v>0</v>
      </c>
    </row>
    <row r="392" spans="1:25" ht="45.75" customHeight="1">
      <c r="A392" s="367">
        <v>16</v>
      </c>
      <c r="B392" s="374" t="s">
        <v>84</v>
      </c>
      <c r="C392" s="161">
        <v>2</v>
      </c>
      <c r="D392" s="220">
        <v>2176</v>
      </c>
      <c r="E392" s="221">
        <v>5</v>
      </c>
      <c r="F392" s="161"/>
      <c r="G392" s="161"/>
      <c r="H392" s="161"/>
      <c r="I392" s="161"/>
      <c r="J392" s="161"/>
      <c r="K392" s="170"/>
      <c r="L392" s="161"/>
      <c r="M392" s="377"/>
      <c r="N392" s="161"/>
      <c r="O392" s="223">
        <f t="shared" si="32"/>
        <v>4352</v>
      </c>
      <c r="P392" s="223">
        <f t="shared" si="31"/>
        <v>2048</v>
      </c>
      <c r="Q392" s="223">
        <f t="shared" si="29"/>
        <v>6400</v>
      </c>
      <c r="R392" s="223">
        <f>O392*12</f>
        <v>52224</v>
      </c>
      <c r="Y392" s="16">
        <f>D396+D588+F588+J396</f>
        <v>128095.5</v>
      </c>
    </row>
    <row r="393" spans="1:24" ht="67.5" customHeight="1" hidden="1">
      <c r="A393" s="367">
        <v>17</v>
      </c>
      <c r="B393" s="374" t="s">
        <v>86</v>
      </c>
      <c r="C393" s="161"/>
      <c r="D393" s="220"/>
      <c r="E393" s="221">
        <v>5</v>
      </c>
      <c r="F393" s="161"/>
      <c r="G393" s="161"/>
      <c r="H393" s="161"/>
      <c r="I393" s="161"/>
      <c r="J393" s="170">
        <f>D393*50%</f>
        <v>0</v>
      </c>
      <c r="K393" s="170"/>
      <c r="L393" s="161"/>
      <c r="M393" s="377"/>
      <c r="N393" s="161"/>
      <c r="O393" s="223">
        <f t="shared" si="32"/>
        <v>0</v>
      </c>
      <c r="P393" s="223"/>
      <c r="Q393" s="223">
        <f t="shared" si="29"/>
        <v>0</v>
      </c>
      <c r="R393" s="223">
        <f>O393*12</f>
        <v>0</v>
      </c>
      <c r="X393" s="172"/>
    </row>
    <row r="394" spans="1:25" ht="15.75">
      <c r="A394" s="204"/>
      <c r="B394" s="161"/>
      <c r="C394" s="161"/>
      <c r="D394" s="230"/>
      <c r="E394" s="230"/>
      <c r="F394" s="161"/>
      <c r="G394" s="161"/>
      <c r="H394" s="161"/>
      <c r="I394" s="161"/>
      <c r="J394" s="161"/>
      <c r="K394" s="170"/>
      <c r="L394" s="161"/>
      <c r="M394" s="161"/>
      <c r="N394" s="161"/>
      <c r="O394" s="216"/>
      <c r="P394" s="216"/>
      <c r="Q394" s="216"/>
      <c r="R394" s="216"/>
      <c r="X394" s="172"/>
      <c r="Y394" s="16">
        <f>D371+D372+D373+D374+D375*C375+D376+D377+D378*C378+D379+D380*C380+D381*C381+D384*C383+D386+D387*C387+D388*C388+D389+D390*C390+D392*C392+D572+D574+D576*C576+D578+D579*C579+D580*C580+D581+D583*C582+J396+F588</f>
        <v>129327.5</v>
      </c>
    </row>
    <row r="395" spans="1:18" ht="15.75" hidden="1">
      <c r="A395" s="367"/>
      <c r="B395" s="161"/>
      <c r="C395" s="161"/>
      <c r="D395" s="230"/>
      <c r="E395" s="230"/>
      <c r="F395" s="161"/>
      <c r="G395" s="161"/>
      <c r="H395" s="161"/>
      <c r="I395" s="161"/>
      <c r="J395" s="161"/>
      <c r="K395" s="170"/>
      <c r="L395" s="161"/>
      <c r="M395" s="161"/>
      <c r="N395" s="161"/>
      <c r="O395" s="161"/>
      <c r="P395" s="161"/>
      <c r="Q395" s="161"/>
      <c r="R395" s="161"/>
    </row>
    <row r="396" spans="1:18" ht="15.75">
      <c r="A396" s="367"/>
      <c r="B396" s="161" t="s">
        <v>15</v>
      </c>
      <c r="C396" s="170">
        <f>SUM(C371:C395)</f>
        <v>33.5</v>
      </c>
      <c r="D396" s="230">
        <f>D371+D372+D373+D374+D375*C375+D376+D377+D378*C378+D379+D380*C380+D381*C381+D384*C383+D386+D387*C387+D388*C388+D389+D390*C390+D392*C392</f>
        <v>74369</v>
      </c>
      <c r="E396" s="230"/>
      <c r="F396" s="170">
        <f aca="true" t="shared" si="34" ref="F396:O396">SUM(F372:F395)+F371</f>
        <v>0</v>
      </c>
      <c r="G396" s="283">
        <f t="shared" si="34"/>
        <v>0</v>
      </c>
      <c r="H396" s="170">
        <f t="shared" si="34"/>
        <v>812.8000000000001</v>
      </c>
      <c r="I396" s="170">
        <f t="shared" si="34"/>
        <v>0</v>
      </c>
      <c r="J396" s="283">
        <f t="shared" si="34"/>
        <v>16422.5</v>
      </c>
      <c r="K396" s="283">
        <f t="shared" si="34"/>
        <v>15922.875</v>
      </c>
      <c r="L396" s="170">
        <f t="shared" si="34"/>
        <v>43.6</v>
      </c>
      <c r="M396" s="283">
        <f t="shared" si="34"/>
        <v>5755.2</v>
      </c>
      <c r="N396" s="170">
        <f t="shared" si="34"/>
        <v>0</v>
      </c>
      <c r="O396" s="170">
        <f t="shared" si="34"/>
        <v>113325.975</v>
      </c>
      <c r="P396" s="283">
        <f>SUM(P372:P395)+P371</f>
        <v>25815.2</v>
      </c>
      <c r="Q396" s="283">
        <f>SUM(Q372:Q395)+Q371</f>
        <v>139141.175</v>
      </c>
      <c r="R396" s="283">
        <f>SUM(R372:R395)</f>
        <v>1281287.7</v>
      </c>
    </row>
    <row r="397" spans="1:18" ht="15.75">
      <c r="A397" s="173"/>
      <c r="B397" s="173"/>
      <c r="C397" s="173"/>
      <c r="D397" s="173"/>
      <c r="E397" s="173"/>
      <c r="F397" s="173"/>
      <c r="G397" s="173"/>
      <c r="H397" s="173"/>
      <c r="I397" s="173"/>
      <c r="J397" s="173"/>
      <c r="K397" s="173"/>
      <c r="L397" s="173"/>
      <c r="M397" s="173"/>
      <c r="N397" s="173"/>
      <c r="O397" s="173"/>
      <c r="P397" s="173"/>
      <c r="Q397" s="173"/>
      <c r="R397" s="173"/>
    </row>
    <row r="398" spans="1:18" ht="15.75">
      <c r="A398" s="173"/>
      <c r="B398" s="173"/>
      <c r="C398" s="173"/>
      <c r="D398" s="173"/>
      <c r="E398" s="173"/>
      <c r="F398" s="173"/>
      <c r="G398" s="173"/>
      <c r="H398" s="173"/>
      <c r="I398" s="173"/>
      <c r="J398" s="173"/>
      <c r="K398" s="173"/>
      <c r="L398" s="173"/>
      <c r="M398" s="173"/>
      <c r="N398" s="173"/>
      <c r="O398" s="173"/>
      <c r="P398" s="173"/>
      <c r="Q398" s="173"/>
      <c r="R398" s="173"/>
    </row>
    <row r="399" spans="1:18" ht="15.75">
      <c r="A399" s="173"/>
      <c r="B399" s="173"/>
      <c r="C399" s="173"/>
      <c r="D399" s="173"/>
      <c r="E399" s="173"/>
      <c r="F399" s="173"/>
      <c r="G399" s="173"/>
      <c r="H399" s="173"/>
      <c r="I399" s="173"/>
      <c r="J399" s="173"/>
      <c r="K399" s="173"/>
      <c r="L399" s="173"/>
      <c r="M399" s="173"/>
      <c r="N399" s="173"/>
      <c r="O399" s="173"/>
      <c r="P399" s="173"/>
      <c r="Q399" s="173"/>
      <c r="R399" s="173"/>
    </row>
    <row r="400" spans="1:25" ht="37.5" customHeight="1">
      <c r="A400" s="198"/>
      <c r="B400" s="198"/>
      <c r="C400" s="198"/>
      <c r="D400" s="198"/>
      <c r="E400" s="198"/>
      <c r="F400" s="198"/>
      <c r="G400" s="198"/>
      <c r="H400" s="198"/>
      <c r="I400" s="198"/>
      <c r="J400" s="198"/>
      <c r="K400" s="198"/>
      <c r="L400" s="198"/>
      <c r="M400" s="198"/>
      <c r="N400" s="198"/>
      <c r="O400" s="198"/>
      <c r="P400" s="198"/>
      <c r="Q400" s="198"/>
      <c r="R400" s="198"/>
      <c r="S400" s="2"/>
      <c r="T400" s="2"/>
      <c r="U400" s="2"/>
      <c r="V400" s="2"/>
      <c r="Y400" s="3">
        <f>C371+C372+C373+C374+C375+C376+C377+C378+C379+C390+C572+C574+C576+C578+C580</f>
        <v>20.25</v>
      </c>
    </row>
    <row r="401" spans="1:18" ht="14.25" customHeight="1">
      <c r="A401" s="172"/>
      <c r="B401" s="172"/>
      <c r="C401" s="200"/>
      <c r="D401" s="200"/>
      <c r="E401" s="200"/>
      <c r="F401" s="200"/>
      <c r="G401" s="200"/>
      <c r="H401" s="200"/>
      <c r="I401" s="200"/>
      <c r="J401" s="200"/>
      <c r="K401" s="198"/>
      <c r="L401" s="198"/>
      <c r="M401" s="198"/>
      <c r="N401" s="198"/>
      <c r="O401" s="172"/>
      <c r="P401" s="172"/>
      <c r="Q401" s="172"/>
      <c r="R401" s="172"/>
    </row>
    <row r="402" spans="1:18" ht="15">
      <c r="A402" s="198"/>
      <c r="B402" s="198"/>
      <c r="C402" s="198"/>
      <c r="D402" s="198"/>
      <c r="E402" s="198"/>
      <c r="F402" s="198"/>
      <c r="G402" s="198"/>
      <c r="H402" s="198"/>
      <c r="I402" s="198"/>
      <c r="J402" s="198"/>
      <c r="K402" s="198"/>
      <c r="L402" s="198"/>
      <c r="M402" s="198"/>
      <c r="N402" s="198"/>
      <c r="O402" s="198"/>
      <c r="P402" s="198"/>
      <c r="Q402" s="198"/>
      <c r="R402" s="198"/>
    </row>
    <row r="403" spans="1:18" ht="15.75">
      <c r="A403" s="172"/>
      <c r="B403" s="172"/>
      <c r="C403" s="173"/>
      <c r="D403" s="172"/>
      <c r="E403" s="172"/>
      <c r="F403" s="172"/>
      <c r="G403" s="172"/>
      <c r="H403" s="172"/>
      <c r="I403" s="172"/>
      <c r="J403" s="173"/>
      <c r="K403" s="172"/>
      <c r="L403" s="172"/>
      <c r="M403" s="172"/>
      <c r="N403" s="172"/>
      <c r="O403" s="172"/>
      <c r="P403" s="172"/>
      <c r="Q403" s="172"/>
      <c r="R403" s="172"/>
    </row>
    <row r="404" spans="1:18" ht="15">
      <c r="A404" s="469"/>
      <c r="B404" s="469"/>
      <c r="C404" s="469"/>
      <c r="D404" s="469"/>
      <c r="E404" s="469"/>
      <c r="F404" s="469"/>
      <c r="G404" s="469"/>
      <c r="H404" s="469"/>
      <c r="I404" s="469"/>
      <c r="J404" s="469"/>
      <c r="K404" s="469"/>
      <c r="L404" s="469"/>
      <c r="M404" s="469"/>
      <c r="N404" s="469"/>
      <c r="O404" s="469"/>
      <c r="P404" s="469"/>
      <c r="Q404" s="469"/>
      <c r="R404" s="469"/>
    </row>
    <row r="405" spans="1:22" ht="37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18" ht="14.25" customHeight="1">
      <c r="A406" s="172"/>
      <c r="B406" s="172"/>
      <c r="C406" s="200" t="s">
        <v>371</v>
      </c>
      <c r="D406" s="200"/>
      <c r="E406" s="200"/>
      <c r="F406" s="200"/>
      <c r="G406" s="200"/>
      <c r="H406" s="200"/>
      <c r="I406" s="200"/>
      <c r="J406" s="200"/>
      <c r="K406" s="198" t="s">
        <v>372</v>
      </c>
      <c r="L406" s="198"/>
      <c r="M406" s="198"/>
      <c r="N406" s="198"/>
      <c r="O406" s="172"/>
      <c r="P406" s="172"/>
      <c r="Q406" s="172"/>
      <c r="R406" s="172"/>
    </row>
    <row r="407" spans="1:18" ht="18.75">
      <c r="A407" s="198"/>
      <c r="B407" s="232"/>
      <c r="C407" s="232"/>
      <c r="D407" s="232"/>
      <c r="E407" s="232"/>
      <c r="F407" s="232"/>
      <c r="G407" s="232"/>
      <c r="H407" s="232"/>
      <c r="I407" s="232"/>
      <c r="J407" s="232"/>
      <c r="K407" s="232"/>
      <c r="L407" s="232"/>
      <c r="M407" s="232"/>
      <c r="N407" s="198"/>
      <c r="O407" s="198"/>
      <c r="P407" s="198"/>
      <c r="Q407" s="198"/>
      <c r="R407" s="198"/>
    </row>
    <row r="408" spans="1:18" ht="15.75">
      <c r="A408" s="172"/>
      <c r="B408" s="172"/>
      <c r="C408" s="173"/>
      <c r="D408" s="172"/>
      <c r="E408" s="172"/>
      <c r="F408" s="172"/>
      <c r="G408" s="172"/>
      <c r="H408" s="172"/>
      <c r="I408" s="172"/>
      <c r="J408" s="173"/>
      <c r="K408" s="172"/>
      <c r="L408" s="172"/>
      <c r="M408" s="172"/>
      <c r="N408" s="172"/>
      <c r="O408" s="172"/>
      <c r="P408" s="172"/>
      <c r="Q408" s="172"/>
      <c r="R408" s="172"/>
    </row>
    <row r="409" spans="1:18" ht="15">
      <c r="A409" s="172"/>
      <c r="B409" s="418" t="s">
        <v>368</v>
      </c>
      <c r="C409" s="172"/>
      <c r="D409" s="172"/>
      <c r="E409" s="172"/>
      <c r="F409" s="172"/>
      <c r="G409" s="172"/>
      <c r="H409" s="172"/>
      <c r="I409" s="172"/>
      <c r="J409" s="172"/>
      <c r="K409" s="172"/>
      <c r="L409" s="172"/>
      <c r="M409" s="172"/>
      <c r="N409" s="172"/>
      <c r="O409" s="172"/>
      <c r="P409" s="172"/>
      <c r="Q409" s="172"/>
      <c r="R409" s="172"/>
    </row>
    <row r="410" ht="15">
      <c r="B410" s="194">
        <v>42041</v>
      </c>
    </row>
    <row r="411" spans="1:18" ht="15.75">
      <c r="A411" s="72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</row>
    <row r="412" spans="1:18" ht="15.75" hidden="1">
      <c r="A412" s="173"/>
      <c r="B412" s="173"/>
      <c r="C412" s="173"/>
      <c r="D412" s="173"/>
      <c r="E412" s="173"/>
      <c r="F412" s="173"/>
      <c r="G412" s="173"/>
      <c r="H412" s="173"/>
      <c r="I412" s="173"/>
      <c r="J412" s="173"/>
      <c r="K412" s="173"/>
      <c r="L412" s="173"/>
      <c r="M412" s="173"/>
      <c r="N412" s="173"/>
      <c r="O412" s="173"/>
      <c r="P412" s="173"/>
      <c r="Q412" s="173"/>
      <c r="R412" s="173"/>
    </row>
    <row r="413" spans="1:18" ht="15.75" hidden="1">
      <c r="A413" s="173"/>
      <c r="B413" s="173"/>
      <c r="C413" s="173"/>
      <c r="D413" s="173"/>
      <c r="E413" s="173"/>
      <c r="F413" s="173"/>
      <c r="G413" s="173"/>
      <c r="H413" s="173"/>
      <c r="I413" s="173"/>
      <c r="J413" s="173"/>
      <c r="K413" s="173"/>
      <c r="L413" s="173"/>
      <c r="M413" s="173"/>
      <c r="N413" s="173"/>
      <c r="O413" s="173"/>
      <c r="P413" s="173"/>
      <c r="Q413" s="173"/>
      <c r="R413" s="173"/>
    </row>
    <row r="414" spans="1:18" ht="15.75" hidden="1">
      <c r="A414" s="173"/>
      <c r="B414" s="173"/>
      <c r="C414" s="173"/>
      <c r="D414" s="173"/>
      <c r="E414" s="173"/>
      <c r="F414" s="173"/>
      <c r="G414" s="173"/>
      <c r="H414" s="173"/>
      <c r="I414" s="173"/>
      <c r="J414" s="173"/>
      <c r="K414" s="173"/>
      <c r="L414" s="173"/>
      <c r="M414" s="173"/>
      <c r="N414" s="173"/>
      <c r="O414" s="173"/>
      <c r="P414" s="173"/>
      <c r="Q414" s="173"/>
      <c r="R414" s="173"/>
    </row>
    <row r="415" spans="1:18" ht="15.75" hidden="1">
      <c r="A415" s="173"/>
      <c r="B415" s="173"/>
      <c r="C415" s="173"/>
      <c r="D415" s="173"/>
      <c r="E415" s="173"/>
      <c r="F415" s="173"/>
      <c r="G415" s="173"/>
      <c r="H415" s="173"/>
      <c r="I415" s="173"/>
      <c r="J415" s="173"/>
      <c r="K415" s="173"/>
      <c r="L415" s="173"/>
      <c r="M415" s="173"/>
      <c r="N415" s="173"/>
      <c r="O415" s="173"/>
      <c r="P415" s="173"/>
      <c r="Q415" s="173"/>
      <c r="R415" s="173"/>
    </row>
    <row r="416" spans="1:18" ht="15.75" hidden="1">
      <c r="A416" s="173"/>
      <c r="B416" s="173"/>
      <c r="C416" s="173"/>
      <c r="D416" s="173"/>
      <c r="E416" s="173"/>
      <c r="F416" s="173"/>
      <c r="G416" s="173"/>
      <c r="H416" s="173"/>
      <c r="I416" s="173"/>
      <c r="J416" s="173"/>
      <c r="K416" s="173"/>
      <c r="L416" s="173"/>
      <c r="M416" s="173"/>
      <c r="N416" s="173"/>
      <c r="O416" s="173"/>
      <c r="P416" s="173"/>
      <c r="Q416" s="173"/>
      <c r="R416" s="173"/>
    </row>
    <row r="417" spans="1:18" ht="15.75" hidden="1">
      <c r="A417" s="173"/>
      <c r="B417" s="173"/>
      <c r="C417" s="173"/>
      <c r="D417" s="173"/>
      <c r="E417" s="173"/>
      <c r="F417" s="173"/>
      <c r="G417" s="173"/>
      <c r="H417" s="173"/>
      <c r="I417" s="173"/>
      <c r="J417" s="173"/>
      <c r="K417" s="173"/>
      <c r="L417" s="173"/>
      <c r="M417" s="173"/>
      <c r="N417" s="173"/>
      <c r="O417" s="173"/>
      <c r="P417" s="173"/>
      <c r="Q417" s="173"/>
      <c r="R417" s="173"/>
    </row>
    <row r="418" spans="1:18" ht="15.75" hidden="1">
      <c r="A418" s="173"/>
      <c r="B418" s="173"/>
      <c r="C418" s="173"/>
      <c r="D418" s="173"/>
      <c r="E418" s="173"/>
      <c r="F418" s="173"/>
      <c r="G418" s="173"/>
      <c r="H418" s="173"/>
      <c r="I418" s="173"/>
      <c r="J418" s="173"/>
      <c r="K418" s="173"/>
      <c r="L418" s="173"/>
      <c r="M418" s="173"/>
      <c r="N418" s="173"/>
      <c r="O418" s="173"/>
      <c r="P418" s="173"/>
      <c r="Q418" s="173"/>
      <c r="R418" s="173"/>
    </row>
    <row r="419" spans="1:18" ht="15.75">
      <c r="A419" s="173"/>
      <c r="B419" s="173"/>
      <c r="C419" s="173"/>
      <c r="D419" s="173"/>
      <c r="E419" s="173"/>
      <c r="F419" s="173"/>
      <c r="G419" s="173"/>
      <c r="H419" s="173"/>
      <c r="I419" s="173"/>
      <c r="J419" s="173"/>
      <c r="K419" s="173"/>
      <c r="L419" s="173"/>
      <c r="M419" s="173"/>
      <c r="N419" s="173"/>
      <c r="O419" s="173"/>
      <c r="P419" s="173"/>
      <c r="Q419" s="173"/>
      <c r="R419" s="173"/>
    </row>
    <row r="420" spans="1:18" ht="15.75">
      <c r="A420" s="72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</row>
    <row r="421" spans="1:18" ht="20.25">
      <c r="A421" s="72"/>
      <c r="B421" s="72"/>
      <c r="C421" s="72"/>
      <c r="D421" s="72"/>
      <c r="E421" s="72"/>
      <c r="F421" s="72"/>
      <c r="G421" s="72"/>
      <c r="H421" s="196"/>
      <c r="I421" s="72"/>
      <c r="J421" s="72"/>
      <c r="K421" s="72"/>
      <c r="L421" s="72"/>
      <c r="M421" s="72"/>
      <c r="N421" s="72"/>
      <c r="O421" s="72"/>
      <c r="P421" s="72"/>
      <c r="Q421" s="72"/>
      <c r="R421" s="72"/>
    </row>
    <row r="422" spans="1:18" ht="15.75">
      <c r="A422" s="72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</row>
    <row r="423" spans="1:18" ht="15.75" hidden="1">
      <c r="A423" s="72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</row>
    <row r="424" spans="1:18" ht="15.75" hidden="1">
      <c r="A424" s="72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</row>
    <row r="425" spans="1:18" ht="15.75" hidden="1">
      <c r="A425" s="72"/>
      <c r="B425" s="72"/>
      <c r="C425" s="72"/>
      <c r="D425" s="72"/>
      <c r="E425" s="72"/>
      <c r="F425" s="72"/>
      <c r="G425" s="72"/>
      <c r="H425" s="72"/>
      <c r="I425" s="72"/>
      <c r="J425" s="488" t="s">
        <v>140</v>
      </c>
      <c r="K425" s="488"/>
      <c r="L425" s="488"/>
      <c r="M425" s="488"/>
      <c r="N425" s="488"/>
      <c r="O425" s="488"/>
      <c r="P425" s="407"/>
      <c r="Q425" s="407"/>
      <c r="R425" s="72"/>
    </row>
    <row r="426" spans="1:18" ht="15.75" hidden="1">
      <c r="A426" s="72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</row>
    <row r="427" spans="1:18" ht="15.75" hidden="1">
      <c r="A427" s="72"/>
      <c r="B427" s="72"/>
      <c r="C427" s="72"/>
      <c r="D427" s="72"/>
      <c r="E427" s="72"/>
      <c r="F427" s="72"/>
      <c r="G427" s="72"/>
      <c r="H427" s="72"/>
      <c r="I427" s="72"/>
      <c r="J427" s="488" t="s">
        <v>174</v>
      </c>
      <c r="K427" s="488"/>
      <c r="L427" s="488"/>
      <c r="M427" s="488"/>
      <c r="N427" s="488"/>
      <c r="O427" s="488"/>
      <c r="P427" s="407"/>
      <c r="Q427" s="407"/>
      <c r="R427" s="72"/>
    </row>
    <row r="428" spans="1:18" ht="15.75" hidden="1">
      <c r="A428" s="72"/>
      <c r="B428" s="89" t="s">
        <v>0</v>
      </c>
      <c r="C428" s="90" t="s">
        <v>161</v>
      </c>
      <c r="D428" s="72"/>
      <c r="E428" s="72"/>
      <c r="F428" s="72"/>
      <c r="G428" s="72"/>
      <c r="H428" s="72"/>
      <c r="I428" s="72"/>
      <c r="J428" s="72" t="s">
        <v>172</v>
      </c>
      <c r="K428" s="72"/>
      <c r="L428" s="72"/>
      <c r="M428" s="72"/>
      <c r="N428" s="72"/>
      <c r="O428" s="72"/>
      <c r="P428" s="72"/>
      <c r="Q428" s="72"/>
      <c r="R428" s="72"/>
    </row>
    <row r="429" spans="1:18" ht="29.25" customHeight="1" hidden="1">
      <c r="A429" s="72"/>
      <c r="B429" s="646" t="s">
        <v>169</v>
      </c>
      <c r="C429" s="646"/>
      <c r="D429" s="646"/>
      <c r="E429" s="646"/>
      <c r="F429" s="646"/>
      <c r="G429" s="92"/>
      <c r="H429" s="92"/>
      <c r="I429" s="72"/>
      <c r="J429" s="72" t="s">
        <v>173</v>
      </c>
      <c r="K429" s="72"/>
      <c r="L429" s="72"/>
      <c r="M429" s="72"/>
      <c r="N429" s="72"/>
      <c r="O429" s="72"/>
      <c r="P429" s="72"/>
      <c r="Q429" s="72"/>
      <c r="R429" s="72"/>
    </row>
    <row r="430" spans="1:18" ht="15.75" hidden="1">
      <c r="A430" s="72"/>
      <c r="B430" s="72" t="s">
        <v>16</v>
      </c>
      <c r="C430" s="72"/>
      <c r="D430" s="72"/>
      <c r="E430" s="72"/>
      <c r="F430" s="72"/>
      <c r="G430" s="72"/>
      <c r="H430" s="72"/>
      <c r="I430" s="72"/>
      <c r="J430" s="93"/>
      <c r="K430" s="93"/>
      <c r="L430" s="93"/>
      <c r="M430" s="93"/>
      <c r="N430" s="93"/>
      <c r="O430" s="93"/>
      <c r="P430" s="93"/>
      <c r="Q430" s="93"/>
      <c r="R430" s="72"/>
    </row>
    <row r="431" spans="1:18" ht="15.75" hidden="1">
      <c r="A431" s="72"/>
      <c r="B431" s="72"/>
      <c r="C431" s="72"/>
      <c r="D431" s="72"/>
      <c r="E431" s="72"/>
      <c r="F431" s="72"/>
      <c r="G431" s="72"/>
      <c r="H431" s="72"/>
      <c r="I431" s="72"/>
      <c r="J431" s="93"/>
      <c r="K431" s="93"/>
      <c r="L431" s="93"/>
      <c r="M431" s="93"/>
      <c r="N431" s="93"/>
      <c r="O431" s="93"/>
      <c r="P431" s="93"/>
      <c r="Q431" s="93"/>
      <c r="R431" s="72"/>
    </row>
    <row r="432" spans="1:18" ht="15.75" hidden="1">
      <c r="A432" s="72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</row>
    <row r="433" spans="1:18" ht="15.75" hidden="1">
      <c r="A433" s="72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</row>
    <row r="434" spans="1:18" ht="12.75" customHeight="1" hidden="1">
      <c r="A434" s="577" t="s">
        <v>1</v>
      </c>
      <c r="B434" s="94" t="s">
        <v>2</v>
      </c>
      <c r="C434" s="75" t="s">
        <v>4</v>
      </c>
      <c r="D434" s="647" t="s">
        <v>112</v>
      </c>
      <c r="E434" s="648"/>
      <c r="F434" s="590" t="s">
        <v>7</v>
      </c>
      <c r="G434" s="591"/>
      <c r="H434" s="569" t="s">
        <v>8</v>
      </c>
      <c r="I434" s="569"/>
      <c r="J434" s="569"/>
      <c r="K434" s="569"/>
      <c r="L434" s="553"/>
      <c r="M434" s="553"/>
      <c r="N434" s="570"/>
      <c r="O434" s="94" t="s">
        <v>10</v>
      </c>
      <c r="P434" s="94"/>
      <c r="Q434" s="94"/>
      <c r="R434" s="75" t="s">
        <v>13</v>
      </c>
    </row>
    <row r="435" spans="1:18" ht="12.75" customHeight="1" hidden="1">
      <c r="A435" s="578"/>
      <c r="B435" s="98" t="s">
        <v>3</v>
      </c>
      <c r="C435" s="98" t="s">
        <v>5</v>
      </c>
      <c r="D435" s="649"/>
      <c r="E435" s="650"/>
      <c r="F435" s="567" t="s">
        <v>18</v>
      </c>
      <c r="G435" s="584" t="s">
        <v>147</v>
      </c>
      <c r="H435" s="567" t="s">
        <v>9</v>
      </c>
      <c r="I435" s="567"/>
      <c r="J435" s="567"/>
      <c r="K435" s="567"/>
      <c r="L435" s="584" t="s">
        <v>113</v>
      </c>
      <c r="M435" s="584" t="s">
        <v>114</v>
      </c>
      <c r="N435" s="588"/>
      <c r="O435" s="98" t="s">
        <v>11</v>
      </c>
      <c r="P435" s="98"/>
      <c r="Q435" s="98"/>
      <c r="R435" s="99" t="s">
        <v>11</v>
      </c>
    </row>
    <row r="436" spans="1:18" ht="15.75" hidden="1">
      <c r="A436" s="578"/>
      <c r="B436" s="98"/>
      <c r="C436" s="98" t="s">
        <v>6</v>
      </c>
      <c r="D436" s="649"/>
      <c r="E436" s="650"/>
      <c r="F436" s="565"/>
      <c r="G436" s="585"/>
      <c r="H436" s="565"/>
      <c r="I436" s="565"/>
      <c r="J436" s="565"/>
      <c r="K436" s="565"/>
      <c r="L436" s="585"/>
      <c r="M436" s="585"/>
      <c r="N436" s="585"/>
      <c r="O436" s="114" t="s">
        <v>12</v>
      </c>
      <c r="P436" s="114"/>
      <c r="Q436" s="114"/>
      <c r="R436" s="99" t="s">
        <v>14</v>
      </c>
    </row>
    <row r="437" spans="1:18" ht="15.75" hidden="1">
      <c r="A437" s="97"/>
      <c r="B437" s="98"/>
      <c r="C437" s="98"/>
      <c r="D437" s="649"/>
      <c r="E437" s="650"/>
      <c r="F437" s="565"/>
      <c r="G437" s="585"/>
      <c r="H437" s="565"/>
      <c r="I437" s="565"/>
      <c r="J437" s="565"/>
      <c r="K437" s="565"/>
      <c r="L437" s="585"/>
      <c r="M437" s="585"/>
      <c r="N437" s="585"/>
      <c r="O437" s="114"/>
      <c r="P437" s="114"/>
      <c r="Q437" s="114"/>
      <c r="R437" s="99"/>
    </row>
    <row r="438" spans="1:22" ht="72.75" customHeight="1" hidden="1">
      <c r="A438" s="101"/>
      <c r="B438" s="103"/>
      <c r="C438" s="103"/>
      <c r="D438" s="651"/>
      <c r="E438" s="652"/>
      <c r="F438" s="566"/>
      <c r="G438" s="586"/>
      <c r="H438" s="566"/>
      <c r="I438" s="566"/>
      <c r="J438" s="566"/>
      <c r="K438" s="566"/>
      <c r="L438" s="586"/>
      <c r="M438" s="586"/>
      <c r="N438" s="586"/>
      <c r="O438" s="102"/>
      <c r="P438" s="102"/>
      <c r="Q438" s="102"/>
      <c r="R438" s="82"/>
      <c r="V438" s="3" t="s">
        <v>157</v>
      </c>
    </row>
    <row r="439" spans="1:22" ht="126" hidden="1">
      <c r="A439" s="104">
        <v>1</v>
      </c>
      <c r="B439" s="123" t="s">
        <v>170</v>
      </c>
      <c r="C439" s="82">
        <v>0.5</v>
      </c>
      <c r="D439" s="108">
        <f>'[1]школи з 01.09.13'!D135*95%</f>
        <v>1958.8999999999999</v>
      </c>
      <c r="E439" s="106" t="s">
        <v>171</v>
      </c>
      <c r="F439" s="107">
        <f>D439*20%*0.5</f>
        <v>195.89</v>
      </c>
      <c r="G439" s="107">
        <f>D439*C439*20%*0.5</f>
        <v>97.945</v>
      </c>
      <c r="H439" s="121"/>
      <c r="I439" s="121"/>
      <c r="J439" s="121"/>
      <c r="K439" s="121"/>
      <c r="L439" s="121"/>
      <c r="M439" s="121"/>
      <c r="N439" s="121"/>
      <c r="O439" s="108">
        <f>D439*C439+F439+H439+I439+J439+K439+L439+M439+N439+G439</f>
        <v>1273.2849999999999</v>
      </c>
      <c r="P439" s="108"/>
      <c r="Q439" s="108"/>
      <c r="R439" s="108">
        <f>O439*12</f>
        <v>15279.419999999998</v>
      </c>
      <c r="V439" s="16">
        <f>F449+G449+H449+I449+J449+K449+L449+M449+N449</f>
        <v>2914.8849999999998</v>
      </c>
    </row>
    <row r="440" spans="1:19" ht="47.25" hidden="1">
      <c r="A440" s="96">
        <v>2</v>
      </c>
      <c r="B440" s="125" t="s">
        <v>55</v>
      </c>
      <c r="C440" s="73">
        <v>4</v>
      </c>
      <c r="D440" s="105">
        <v>1396</v>
      </c>
      <c r="E440" s="106" t="s">
        <v>122</v>
      </c>
      <c r="F440" s="107">
        <f>D440*C440*20%</f>
        <v>1116.8</v>
      </c>
      <c r="G440" s="107">
        <f>D440*C440*20%</f>
        <v>1116.8</v>
      </c>
      <c r="H440" s="73"/>
      <c r="I440" s="73"/>
      <c r="J440" s="73"/>
      <c r="K440" s="73"/>
      <c r="L440" s="73"/>
      <c r="M440" s="73"/>
      <c r="N440" s="73"/>
      <c r="O440" s="108">
        <f>D440*C440+F440+H440+I440+J440+K440+L440+M440+N440+G440</f>
        <v>7817.6</v>
      </c>
      <c r="P440" s="108"/>
      <c r="Q440" s="108"/>
      <c r="R440" s="108">
        <f aca="true" t="shared" si="35" ref="R440:R447">O440*12</f>
        <v>93811.20000000001</v>
      </c>
      <c r="S440" s="16"/>
    </row>
    <row r="441" spans="1:19" ht="15.75" hidden="1">
      <c r="A441" s="126"/>
      <c r="B441" s="127"/>
      <c r="C441" s="73"/>
      <c r="D441" s="105"/>
      <c r="E441" s="106"/>
      <c r="F441" s="107"/>
      <c r="G441" s="107"/>
      <c r="H441" s="73"/>
      <c r="I441" s="73"/>
      <c r="J441" s="73"/>
      <c r="K441" s="73"/>
      <c r="L441" s="73"/>
      <c r="M441" s="73"/>
      <c r="N441" s="73"/>
      <c r="O441" s="108">
        <f>D441*C441+F441+H441+I441+J441+K441+L441+M441+N441+G441</f>
        <v>0</v>
      </c>
      <c r="P441" s="108"/>
      <c r="Q441" s="108"/>
      <c r="R441" s="108">
        <f t="shared" si="35"/>
        <v>0</v>
      </c>
      <c r="S441" s="16">
        <f>D439+D440*C440+D441*C441+D442*C442</f>
        <v>7542.9</v>
      </c>
    </row>
    <row r="442" spans="1:19" ht="15.75" hidden="1">
      <c r="A442" s="121"/>
      <c r="B442" s="128"/>
      <c r="C442" s="73"/>
      <c r="D442" s="105"/>
      <c r="E442" s="106"/>
      <c r="F442" s="107"/>
      <c r="G442" s="107"/>
      <c r="H442" s="73"/>
      <c r="I442" s="73"/>
      <c r="J442" s="73"/>
      <c r="K442" s="73"/>
      <c r="L442" s="73"/>
      <c r="M442" s="73"/>
      <c r="N442" s="73"/>
      <c r="O442" s="108">
        <f>D442*C442+F442+H442+I442+J442+K442+L442+M442+N442+G442</f>
        <v>0</v>
      </c>
      <c r="P442" s="108"/>
      <c r="Q442" s="108"/>
      <c r="R442" s="108">
        <f t="shared" si="35"/>
        <v>0</v>
      </c>
      <c r="S442" s="16">
        <f>O439+O440+O441+O442</f>
        <v>9090.885</v>
      </c>
    </row>
    <row r="443" spans="1:19" ht="0.75" customHeight="1" hidden="1">
      <c r="A443" s="95"/>
      <c r="B443" s="73"/>
      <c r="C443" s="73"/>
      <c r="D443" s="105"/>
      <c r="E443" s="105"/>
      <c r="F443" s="73"/>
      <c r="G443" s="73"/>
      <c r="H443" s="73"/>
      <c r="I443" s="73"/>
      <c r="J443" s="73"/>
      <c r="K443" s="73"/>
      <c r="L443" s="73"/>
      <c r="M443" s="73"/>
      <c r="N443" s="73"/>
      <c r="O443" s="108"/>
      <c r="P443" s="108"/>
      <c r="Q443" s="108"/>
      <c r="R443" s="108">
        <f t="shared" si="35"/>
        <v>0</v>
      </c>
      <c r="S443" s="3">
        <f>D444*C444+D445*C445+D447*C447</f>
        <v>1383.75</v>
      </c>
    </row>
    <row r="444" spans="1:18" ht="15.75" hidden="1">
      <c r="A444" s="95"/>
      <c r="B444" s="109"/>
      <c r="C444" s="73"/>
      <c r="D444" s="105"/>
      <c r="E444" s="106"/>
      <c r="F444" s="73"/>
      <c r="G444" s="73"/>
      <c r="H444" s="73"/>
      <c r="I444" s="73"/>
      <c r="J444" s="73"/>
      <c r="K444" s="73"/>
      <c r="L444" s="73"/>
      <c r="M444" s="74"/>
      <c r="N444" s="74"/>
      <c r="O444" s="108">
        <f>D444*C444+F444+H444+I444+J444+K444+L444+M444+N444</f>
        <v>0</v>
      </c>
      <c r="P444" s="108"/>
      <c r="Q444" s="108"/>
      <c r="R444" s="108">
        <f t="shared" si="35"/>
        <v>0</v>
      </c>
    </row>
    <row r="445" spans="1:18" ht="47.25" hidden="1">
      <c r="A445" s="95">
        <v>4</v>
      </c>
      <c r="B445" s="109" t="s">
        <v>27</v>
      </c>
      <c r="C445" s="73">
        <v>0.75</v>
      </c>
      <c r="D445" s="105">
        <v>1107</v>
      </c>
      <c r="E445" s="106" t="s">
        <v>119</v>
      </c>
      <c r="F445" s="73"/>
      <c r="G445" s="73"/>
      <c r="H445" s="73"/>
      <c r="I445" s="73"/>
      <c r="J445" s="73"/>
      <c r="K445" s="73"/>
      <c r="L445" s="73"/>
      <c r="M445" s="74">
        <f>D445*40%*C445</f>
        <v>332.1</v>
      </c>
      <c r="N445" s="74"/>
      <c r="O445" s="108">
        <f>D445*C445+F445+H445+I445+J445+K445+L445+M445+N445</f>
        <v>1162.35</v>
      </c>
      <c r="P445" s="108"/>
      <c r="Q445" s="108"/>
      <c r="R445" s="108">
        <f t="shared" si="35"/>
        <v>13948.199999999999</v>
      </c>
    </row>
    <row r="446" spans="1:18" ht="0.75" customHeight="1" hidden="1">
      <c r="A446" s="95"/>
      <c r="B446" s="109"/>
      <c r="C446" s="73"/>
      <c r="D446" s="105">
        <v>1099</v>
      </c>
      <c r="E446" s="105"/>
      <c r="F446" s="73"/>
      <c r="G446" s="73"/>
      <c r="H446" s="73"/>
      <c r="I446" s="73"/>
      <c r="J446" s="73"/>
      <c r="K446" s="73"/>
      <c r="L446" s="73"/>
      <c r="M446" s="73"/>
      <c r="N446" s="73"/>
      <c r="O446" s="108"/>
      <c r="P446" s="108"/>
      <c r="Q446" s="108"/>
      <c r="R446" s="108">
        <f t="shared" si="35"/>
        <v>0</v>
      </c>
    </row>
    <row r="447" spans="1:18" ht="47.25" hidden="1">
      <c r="A447" s="95">
        <v>5</v>
      </c>
      <c r="B447" s="109" t="s">
        <v>136</v>
      </c>
      <c r="C447" s="73">
        <v>0.5</v>
      </c>
      <c r="D447" s="105">
        <v>1107</v>
      </c>
      <c r="E447" s="106" t="s">
        <v>119</v>
      </c>
      <c r="F447" s="73"/>
      <c r="G447" s="73"/>
      <c r="H447" s="73"/>
      <c r="I447" s="73"/>
      <c r="J447" s="73"/>
      <c r="K447" s="73"/>
      <c r="L447" s="74">
        <f>D447*10%*0.5</f>
        <v>55.35</v>
      </c>
      <c r="M447" s="73"/>
      <c r="N447" s="73"/>
      <c r="O447" s="108">
        <f>D447*C447+F447+H447+I447+J447+K447+L447+M447+N447</f>
        <v>608.85</v>
      </c>
      <c r="P447" s="108"/>
      <c r="Q447" s="108"/>
      <c r="R447" s="108">
        <f t="shared" si="35"/>
        <v>7306.200000000001</v>
      </c>
    </row>
    <row r="448" spans="1:18" ht="15.75" hidden="1">
      <c r="A448" s="95"/>
      <c r="B448" s="73"/>
      <c r="C448" s="73"/>
      <c r="D448" s="74"/>
      <c r="E448" s="74"/>
      <c r="F448" s="73"/>
      <c r="G448" s="73"/>
      <c r="H448" s="73"/>
      <c r="I448" s="73"/>
      <c r="J448" s="73"/>
      <c r="K448" s="73"/>
      <c r="L448" s="73"/>
      <c r="M448" s="73"/>
      <c r="N448" s="73"/>
      <c r="O448" s="108"/>
      <c r="P448" s="108"/>
      <c r="Q448" s="108"/>
      <c r="R448" s="108"/>
    </row>
    <row r="449" spans="1:18" ht="15.75" hidden="1">
      <c r="A449" s="95"/>
      <c r="B449" s="73" t="s">
        <v>52</v>
      </c>
      <c r="C449" s="73">
        <f>SUM(C439:C448)</f>
        <v>5.75</v>
      </c>
      <c r="D449" s="111">
        <f>D439+D440*C440+D444*C444+D445*C445+D447*C447+D441*C441+D442*C442</f>
        <v>8926.65</v>
      </c>
      <c r="E449" s="111"/>
      <c r="F449" s="74">
        <f>SUM(F439:F447)</f>
        <v>1312.69</v>
      </c>
      <c r="G449" s="74">
        <f>SUM(G439:G447)</f>
        <v>1214.745</v>
      </c>
      <c r="H449" s="74">
        <f aca="true" t="shared" si="36" ref="H449:N449">SUM(H439:H447)</f>
        <v>0</v>
      </c>
      <c r="I449" s="74">
        <f t="shared" si="36"/>
        <v>0</v>
      </c>
      <c r="J449" s="74">
        <f t="shared" si="36"/>
        <v>0</v>
      </c>
      <c r="K449" s="74">
        <f t="shared" si="36"/>
        <v>0</v>
      </c>
      <c r="L449" s="74">
        <f t="shared" si="36"/>
        <v>55.35</v>
      </c>
      <c r="M449" s="74">
        <f t="shared" si="36"/>
        <v>332.1</v>
      </c>
      <c r="N449" s="74">
        <f t="shared" si="36"/>
        <v>0</v>
      </c>
      <c r="O449" s="74">
        <f>SUM(O439:O447)</f>
        <v>10862.085000000001</v>
      </c>
      <c r="P449" s="74"/>
      <c r="Q449" s="74"/>
      <c r="R449" s="74">
        <f>SUM(R439:R447)</f>
        <v>130345.02</v>
      </c>
    </row>
    <row r="450" spans="1:18" ht="15.75" hidden="1">
      <c r="A450" s="73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82"/>
      <c r="P450" s="82"/>
      <c r="Q450" s="82"/>
      <c r="R450" s="82"/>
    </row>
    <row r="451" spans="1:18" ht="15.75" hidden="1">
      <c r="A451" s="73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</row>
    <row r="452" spans="1:18" ht="15.75" hidden="1">
      <c r="A452" s="93"/>
      <c r="B452" s="93"/>
      <c r="C452" s="93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</row>
    <row r="453" spans="1:18" ht="15.75" hidden="1">
      <c r="A453" s="93"/>
      <c r="B453" s="568"/>
      <c r="C453" s="568"/>
      <c r="D453" s="568"/>
      <c r="E453" s="568"/>
      <c r="F453" s="568"/>
      <c r="G453" s="568"/>
      <c r="H453" s="568"/>
      <c r="I453" s="568"/>
      <c r="J453" s="568"/>
      <c r="K453" s="568"/>
      <c r="L453" s="568"/>
      <c r="M453" s="568"/>
      <c r="N453" s="568"/>
      <c r="O453" s="568"/>
      <c r="P453" s="568"/>
      <c r="Q453" s="568"/>
      <c r="R453" s="568"/>
    </row>
    <row r="454" spans="1:18" ht="15.75" hidden="1">
      <c r="A454" s="93"/>
      <c r="B454" s="93"/>
      <c r="C454" s="93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</row>
    <row r="455" spans="1:18" ht="15.75" hidden="1">
      <c r="A455" s="93"/>
      <c r="B455" s="93"/>
      <c r="C455" s="93"/>
      <c r="D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</row>
    <row r="456" spans="1:18" ht="15.75" hidden="1">
      <c r="A456" s="93"/>
      <c r="B456" s="93"/>
      <c r="C456" s="93"/>
      <c r="D456" s="93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</row>
    <row r="457" spans="1:18" ht="15.75" customHeight="1" hidden="1">
      <c r="A457" s="72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</row>
    <row r="458" spans="1:18" ht="15.75" hidden="1">
      <c r="A458" s="72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</row>
    <row r="459" spans="1:18" ht="15.75" hidden="1">
      <c r="A459" s="72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</row>
    <row r="460" spans="1:18" ht="15.75" hidden="1">
      <c r="A460" s="583" t="s">
        <v>175</v>
      </c>
      <c r="B460" s="583"/>
      <c r="C460" s="583"/>
      <c r="D460" s="583"/>
      <c r="E460" s="583"/>
      <c r="F460" s="583"/>
      <c r="G460" s="583"/>
      <c r="H460" s="583"/>
      <c r="I460" s="583"/>
      <c r="J460" s="583"/>
      <c r="K460" s="583"/>
      <c r="L460" s="583"/>
      <c r="M460" s="583"/>
      <c r="N460" s="583"/>
      <c r="O460" s="583"/>
      <c r="P460" s="409"/>
      <c r="Q460" s="409"/>
      <c r="R460" s="72"/>
    </row>
    <row r="461" spans="1:21" ht="18" customHeight="1" hidden="1">
      <c r="A461" s="72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88"/>
      <c r="S461" s="2"/>
      <c r="T461" s="2"/>
      <c r="U461" s="2"/>
    </row>
    <row r="462" spans="1:18" ht="12.75" customHeight="1" hidden="1">
      <c r="A462" s="72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</row>
    <row r="463" spans="1:18" ht="15.75" hidden="1">
      <c r="A463" s="583"/>
      <c r="B463" s="583"/>
      <c r="C463" s="583"/>
      <c r="D463" s="583"/>
      <c r="E463" s="583"/>
      <c r="F463" s="583"/>
      <c r="G463" s="583"/>
      <c r="H463" s="583"/>
      <c r="I463" s="583"/>
      <c r="J463" s="583"/>
      <c r="K463" s="583"/>
      <c r="L463" s="583"/>
      <c r="M463" s="583"/>
      <c r="N463" s="583"/>
      <c r="O463" s="583"/>
      <c r="P463" s="409"/>
      <c r="Q463" s="409"/>
      <c r="R463" s="72"/>
    </row>
    <row r="464" spans="1:18" ht="15.75" hidden="1">
      <c r="A464" s="72"/>
      <c r="B464" s="72" t="s">
        <v>176</v>
      </c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</row>
    <row r="465" spans="1:18" ht="15.75" hidden="1">
      <c r="A465" s="72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</row>
    <row r="466" spans="1:18" ht="15.75" hidden="1">
      <c r="A466" s="72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</row>
    <row r="467" spans="1:18" ht="15.75" hidden="1">
      <c r="A467" s="72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</row>
    <row r="468" spans="1:18" ht="15.75" hidden="1">
      <c r="A468" s="72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</row>
    <row r="469" spans="1:18" ht="15.75" hidden="1">
      <c r="A469" s="72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</row>
    <row r="470" spans="1:18" ht="15.75" hidden="1">
      <c r="A470" s="72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</row>
    <row r="471" spans="1:18" ht="15.75" hidden="1">
      <c r="A471" s="72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</row>
    <row r="472" spans="1:18" ht="15.75" hidden="1">
      <c r="A472" s="72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</row>
    <row r="473" spans="1:18" ht="15.75" hidden="1">
      <c r="A473" s="72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</row>
    <row r="474" spans="1:18" ht="15.75" hidden="1">
      <c r="A474" s="72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</row>
    <row r="475" spans="1:18" ht="15.75" hidden="1">
      <c r="A475" s="72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</row>
    <row r="476" spans="1:18" ht="15.75" hidden="1">
      <c r="A476" s="72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</row>
    <row r="477" spans="1:18" ht="15.75" hidden="1">
      <c r="A477" s="72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</row>
    <row r="478" spans="1:18" ht="15.75" hidden="1">
      <c r="A478" s="72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</row>
    <row r="479" spans="1:18" ht="15.75" hidden="1">
      <c r="A479" s="72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</row>
    <row r="480" spans="1:18" ht="15.75" hidden="1">
      <c r="A480" s="72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</row>
    <row r="481" spans="1:18" ht="15.75" hidden="1">
      <c r="A481" s="72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</row>
    <row r="482" spans="1:18" ht="15.75" hidden="1">
      <c r="A482" s="72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</row>
    <row r="483" spans="1:18" ht="15.75" hidden="1">
      <c r="A483" s="72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</row>
    <row r="484" spans="1:18" ht="15.75" hidden="1">
      <c r="A484" s="72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</row>
    <row r="485" spans="1:18" ht="15.75" hidden="1">
      <c r="A485" s="72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</row>
    <row r="486" spans="1:18" ht="15.75" hidden="1">
      <c r="A486" s="72"/>
      <c r="B486" s="72"/>
      <c r="C486" s="72"/>
      <c r="D486" s="72"/>
      <c r="E486" s="72"/>
      <c r="F486" s="72"/>
      <c r="G486" s="72"/>
      <c r="H486" s="72"/>
      <c r="I486" s="72"/>
      <c r="J486" s="72" t="s">
        <v>50</v>
      </c>
      <c r="K486" s="72"/>
      <c r="L486" s="72"/>
      <c r="M486" s="72"/>
      <c r="N486" s="72"/>
      <c r="O486" s="72"/>
      <c r="P486" s="72"/>
      <c r="Q486" s="72"/>
      <c r="R486" s="72"/>
    </row>
    <row r="487" spans="1:18" ht="15.75" hidden="1">
      <c r="A487" s="72"/>
      <c r="B487" s="89" t="s">
        <v>0</v>
      </c>
      <c r="C487" s="89"/>
      <c r="D487" s="72"/>
      <c r="E487" s="72"/>
      <c r="F487" s="72"/>
      <c r="G487" s="72"/>
      <c r="H487" s="72"/>
      <c r="I487" s="72"/>
      <c r="J487" s="72" t="s">
        <v>87</v>
      </c>
      <c r="K487" s="72"/>
      <c r="L487" s="72"/>
      <c r="M487" s="72"/>
      <c r="N487" s="72"/>
      <c r="O487" s="72"/>
      <c r="P487" s="72"/>
      <c r="Q487" s="72"/>
      <c r="R487" s="72"/>
    </row>
    <row r="488" spans="1:18" ht="15.75" hidden="1">
      <c r="A488" s="72"/>
      <c r="B488" s="72" t="s">
        <v>53</v>
      </c>
      <c r="C488" s="93"/>
      <c r="D488" s="93"/>
      <c r="E488" s="93"/>
      <c r="F488" s="72"/>
      <c r="G488" s="72"/>
      <c r="H488" s="72"/>
      <c r="I488" s="72"/>
      <c r="J488" s="72" t="s">
        <v>78</v>
      </c>
      <c r="K488" s="72"/>
      <c r="L488" s="72"/>
      <c r="M488" s="72"/>
      <c r="N488" s="72"/>
      <c r="O488" s="72"/>
      <c r="P488" s="72"/>
      <c r="Q488" s="72"/>
      <c r="R488" s="72"/>
    </row>
    <row r="489" spans="1:18" ht="15.75" hidden="1">
      <c r="A489" s="72"/>
      <c r="B489" s="72" t="s">
        <v>16</v>
      </c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</row>
    <row r="490" spans="1:18" ht="15.75" hidden="1">
      <c r="A490" s="72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</row>
    <row r="491" spans="1:18" ht="15.75" hidden="1">
      <c r="A491" s="72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</row>
    <row r="492" spans="1:18" ht="15.75" hidden="1">
      <c r="A492" s="72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</row>
    <row r="493" spans="1:18" ht="15.75" hidden="1">
      <c r="A493" s="577" t="s">
        <v>1</v>
      </c>
      <c r="B493" s="94" t="s">
        <v>2</v>
      </c>
      <c r="C493" s="75" t="s">
        <v>4</v>
      </c>
      <c r="D493" s="567" t="s">
        <v>19</v>
      </c>
      <c r="E493" s="129"/>
      <c r="F493" s="119" t="s">
        <v>7</v>
      </c>
      <c r="G493" s="119"/>
      <c r="H493" s="569" t="s">
        <v>8</v>
      </c>
      <c r="I493" s="569"/>
      <c r="J493" s="569"/>
      <c r="K493" s="569"/>
      <c r="L493" s="553"/>
      <c r="M493" s="553"/>
      <c r="N493" s="570"/>
      <c r="O493" s="94" t="s">
        <v>10</v>
      </c>
      <c r="P493" s="94"/>
      <c r="Q493" s="94"/>
      <c r="R493" s="75" t="s">
        <v>13</v>
      </c>
    </row>
    <row r="494" spans="1:18" ht="15.75" hidden="1">
      <c r="A494" s="578"/>
      <c r="B494" s="98" t="s">
        <v>3</v>
      </c>
      <c r="C494" s="98" t="s">
        <v>5</v>
      </c>
      <c r="D494" s="565"/>
      <c r="E494" s="113"/>
      <c r="F494" s="567" t="s">
        <v>18</v>
      </c>
      <c r="G494" s="112"/>
      <c r="H494" s="567" t="s">
        <v>9</v>
      </c>
      <c r="I494" s="567"/>
      <c r="J494" s="567"/>
      <c r="K494" s="567"/>
      <c r="L494" s="564">
        <v>0.1</v>
      </c>
      <c r="M494" s="564"/>
      <c r="N494" s="564">
        <v>0.4</v>
      </c>
      <c r="O494" s="98" t="s">
        <v>11</v>
      </c>
      <c r="P494" s="98"/>
      <c r="Q494" s="98"/>
      <c r="R494" s="99" t="s">
        <v>11</v>
      </c>
    </row>
    <row r="495" spans="1:18" ht="15.75" hidden="1">
      <c r="A495" s="578"/>
      <c r="B495" s="98"/>
      <c r="C495" s="98" t="s">
        <v>6</v>
      </c>
      <c r="D495" s="565"/>
      <c r="E495" s="113"/>
      <c r="F495" s="565"/>
      <c r="G495" s="113"/>
      <c r="H495" s="565"/>
      <c r="I495" s="565"/>
      <c r="J495" s="565"/>
      <c r="K495" s="565"/>
      <c r="L495" s="565"/>
      <c r="M495" s="565"/>
      <c r="N495" s="565"/>
      <c r="O495" s="114" t="s">
        <v>12</v>
      </c>
      <c r="P495" s="114"/>
      <c r="Q495" s="114"/>
      <c r="R495" s="99" t="s">
        <v>14</v>
      </c>
    </row>
    <row r="496" spans="1:18" ht="15.75" hidden="1">
      <c r="A496" s="97"/>
      <c r="B496" s="98"/>
      <c r="C496" s="98"/>
      <c r="D496" s="565"/>
      <c r="E496" s="113"/>
      <c r="F496" s="565"/>
      <c r="G496" s="113"/>
      <c r="H496" s="565"/>
      <c r="I496" s="565"/>
      <c r="J496" s="565"/>
      <c r="K496" s="565"/>
      <c r="L496" s="565"/>
      <c r="M496" s="565"/>
      <c r="N496" s="565"/>
      <c r="O496" s="114"/>
      <c r="P496" s="114"/>
      <c r="Q496" s="114"/>
      <c r="R496" s="99"/>
    </row>
    <row r="497" spans="1:18" ht="15.75" hidden="1">
      <c r="A497" s="101"/>
      <c r="B497" s="103"/>
      <c r="C497" s="103"/>
      <c r="D497" s="566"/>
      <c r="E497" s="115"/>
      <c r="F497" s="566"/>
      <c r="G497" s="115"/>
      <c r="H497" s="566"/>
      <c r="I497" s="566"/>
      <c r="J497" s="566"/>
      <c r="K497" s="566"/>
      <c r="L497" s="566"/>
      <c r="M497" s="566"/>
      <c r="N497" s="566"/>
      <c r="O497" s="102"/>
      <c r="P497" s="102"/>
      <c r="Q497" s="102"/>
      <c r="R497" s="82"/>
    </row>
    <row r="498" spans="1:18" ht="15.75" hidden="1">
      <c r="A498" s="82">
        <v>1</v>
      </c>
      <c r="B498" s="82" t="s">
        <v>33</v>
      </c>
      <c r="C498" s="82"/>
      <c r="D498" s="108"/>
      <c r="E498" s="108"/>
      <c r="F498" s="121"/>
      <c r="G498" s="121"/>
      <c r="H498" s="121"/>
      <c r="I498" s="121"/>
      <c r="J498" s="121"/>
      <c r="K498" s="121"/>
      <c r="L498" s="121"/>
      <c r="M498" s="121"/>
      <c r="N498" s="121"/>
      <c r="O498" s="82"/>
      <c r="P498" s="82"/>
      <c r="Q498" s="82"/>
      <c r="R498" s="82"/>
    </row>
    <row r="499" spans="1:18" ht="15.75" hidden="1">
      <c r="A499" s="73"/>
      <c r="B499" s="73" t="s">
        <v>56</v>
      </c>
      <c r="C499" s="73"/>
      <c r="D499" s="74"/>
      <c r="E499" s="74"/>
      <c r="F499" s="74"/>
      <c r="G499" s="74"/>
      <c r="H499" s="73"/>
      <c r="I499" s="73"/>
      <c r="J499" s="73"/>
      <c r="K499" s="73"/>
      <c r="L499" s="73"/>
      <c r="M499" s="73"/>
      <c r="N499" s="73"/>
      <c r="O499" s="108"/>
      <c r="P499" s="108"/>
      <c r="Q499" s="108"/>
      <c r="R499" s="108"/>
    </row>
    <row r="500" spans="1:18" ht="15.75" hidden="1">
      <c r="A500" s="73"/>
      <c r="B500" s="73"/>
      <c r="C500" s="73"/>
      <c r="D500" s="74"/>
      <c r="E500" s="74"/>
      <c r="F500" s="73"/>
      <c r="G500" s="73"/>
      <c r="H500" s="73"/>
      <c r="I500" s="73"/>
      <c r="J500" s="73"/>
      <c r="K500" s="73"/>
      <c r="L500" s="73"/>
      <c r="M500" s="73"/>
      <c r="N500" s="73"/>
      <c r="O500" s="108"/>
      <c r="P500" s="108"/>
      <c r="Q500" s="108"/>
      <c r="R500" s="108"/>
    </row>
    <row r="501" spans="1:18" ht="15.75" hidden="1">
      <c r="A501" s="73"/>
      <c r="B501" s="73"/>
      <c r="C501" s="73"/>
      <c r="D501" s="74"/>
      <c r="E501" s="74"/>
      <c r="F501" s="73"/>
      <c r="G501" s="73"/>
      <c r="H501" s="73"/>
      <c r="I501" s="73"/>
      <c r="J501" s="73"/>
      <c r="K501" s="73"/>
      <c r="L501" s="74"/>
      <c r="M501" s="73"/>
      <c r="N501" s="73"/>
      <c r="O501" s="108"/>
      <c r="P501" s="108"/>
      <c r="Q501" s="108"/>
      <c r="R501" s="108"/>
    </row>
    <row r="502" spans="1:18" ht="15.75" hidden="1">
      <c r="A502" s="73"/>
      <c r="B502" s="73"/>
      <c r="C502" s="73"/>
      <c r="D502" s="74"/>
      <c r="E502" s="74"/>
      <c r="F502" s="73"/>
      <c r="G502" s="73"/>
      <c r="H502" s="73"/>
      <c r="I502" s="73"/>
      <c r="J502" s="73"/>
      <c r="K502" s="73"/>
      <c r="L502" s="74"/>
      <c r="M502" s="73"/>
      <c r="N502" s="73"/>
      <c r="O502" s="108"/>
      <c r="P502" s="108"/>
      <c r="Q502" s="108"/>
      <c r="R502" s="108"/>
    </row>
    <row r="503" spans="1:18" ht="15.75" hidden="1">
      <c r="A503" s="73"/>
      <c r="B503" s="73" t="s">
        <v>52</v>
      </c>
      <c r="C503" s="73">
        <f>SUM(C499:C501)</f>
        <v>0</v>
      </c>
      <c r="D503" s="111">
        <f>D499*C499+D501</f>
        <v>0</v>
      </c>
      <c r="E503" s="111"/>
      <c r="F503" s="74">
        <f aca="true" t="shared" si="37" ref="F503:N503">SUM(F499:F501)</f>
        <v>0</v>
      </c>
      <c r="G503" s="74"/>
      <c r="H503" s="73">
        <f t="shared" si="37"/>
        <v>0</v>
      </c>
      <c r="I503" s="73">
        <f t="shared" si="37"/>
        <v>0</v>
      </c>
      <c r="J503" s="73">
        <f t="shared" si="37"/>
        <v>0</v>
      </c>
      <c r="K503" s="73">
        <f t="shared" si="37"/>
        <v>0</v>
      </c>
      <c r="L503" s="74">
        <f t="shared" si="37"/>
        <v>0</v>
      </c>
      <c r="M503" s="73">
        <f t="shared" si="37"/>
        <v>0</v>
      </c>
      <c r="N503" s="73">
        <f t="shared" si="37"/>
        <v>0</v>
      </c>
      <c r="O503" s="74">
        <f>SUM(O499:O501)</f>
        <v>0</v>
      </c>
      <c r="P503" s="74"/>
      <c r="Q503" s="74"/>
      <c r="R503" s="74">
        <f>SUM(R499:R501)</f>
        <v>0</v>
      </c>
    </row>
    <row r="504" spans="1:18" ht="15.75" hidden="1">
      <c r="A504" s="75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4"/>
    </row>
    <row r="505" spans="1:18" ht="15.75" hidden="1">
      <c r="A505" s="93"/>
      <c r="B505" s="93"/>
      <c r="C505" s="93"/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</row>
    <row r="506" spans="1:18" ht="15.75" hidden="1">
      <c r="A506" s="93"/>
      <c r="B506" s="93"/>
      <c r="C506" s="93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</row>
    <row r="507" spans="1:18" ht="15.75" hidden="1">
      <c r="A507" s="72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</row>
    <row r="508" spans="1:18" ht="12.75" customHeight="1" hidden="1">
      <c r="A508" s="72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</row>
    <row r="509" spans="1:18" ht="15.75" hidden="1">
      <c r="A509" s="72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</row>
    <row r="510" spans="1:18" ht="15.75" hidden="1">
      <c r="A510" s="72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</row>
    <row r="511" spans="1:21" ht="15.75" hidden="1">
      <c r="A511" s="583" t="s">
        <v>88</v>
      </c>
      <c r="B511" s="583"/>
      <c r="C511" s="583"/>
      <c r="D511" s="583"/>
      <c r="E511" s="583"/>
      <c r="F511" s="583"/>
      <c r="G511" s="583"/>
      <c r="H511" s="583"/>
      <c r="I511" s="583"/>
      <c r="J511" s="583"/>
      <c r="K511" s="583"/>
      <c r="L511" s="583"/>
      <c r="M511" s="583"/>
      <c r="N511" s="583"/>
      <c r="O511" s="583"/>
      <c r="P511" s="583"/>
      <c r="Q511" s="583"/>
      <c r="R511" s="583"/>
      <c r="S511" s="2"/>
      <c r="T511" s="2"/>
      <c r="U511" s="2"/>
    </row>
    <row r="512" spans="1:18" ht="15.75" hidden="1">
      <c r="A512" s="72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</row>
    <row r="513" spans="1:18" ht="17.25" customHeight="1" hidden="1">
      <c r="A513" s="72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</row>
    <row r="514" spans="1:18" ht="15.75" hidden="1">
      <c r="A514" s="72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</row>
    <row r="515" spans="1:18" ht="15.75" hidden="1">
      <c r="A515" s="72"/>
      <c r="B515" s="72" t="s">
        <v>89</v>
      </c>
      <c r="C515" s="72" t="s">
        <v>90</v>
      </c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</row>
    <row r="516" spans="1:18" ht="15.75" hidden="1">
      <c r="A516" s="72"/>
      <c r="B516" s="72" t="s">
        <v>29</v>
      </c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</row>
    <row r="517" spans="1:18" ht="15.75" hidden="1">
      <c r="A517" s="72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</row>
    <row r="518" spans="1:18" ht="15.75" hidden="1">
      <c r="A518" s="72"/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</row>
    <row r="519" spans="1:18" ht="15.75" hidden="1">
      <c r="A519" s="72"/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</row>
    <row r="520" spans="1:18" ht="15.75" hidden="1">
      <c r="A520" s="72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</row>
    <row r="521" spans="1:18" ht="15.75" hidden="1">
      <c r="A521" s="72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</row>
    <row r="522" spans="1:18" ht="15.75" hidden="1">
      <c r="A522" s="72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</row>
    <row r="523" spans="1:18" ht="15.75" hidden="1">
      <c r="A523" s="72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</row>
    <row r="524" spans="1:18" ht="15.75" hidden="1">
      <c r="A524" s="72"/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</row>
    <row r="525" spans="1:18" ht="15.75" hidden="1">
      <c r="A525" s="72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</row>
    <row r="526" spans="1:18" ht="15.75" hidden="1">
      <c r="A526" s="72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</row>
    <row r="527" spans="1:18" ht="15.75" hidden="1">
      <c r="A527" s="72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</row>
    <row r="528" spans="1:18" ht="15.75" hidden="1">
      <c r="A528" s="72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</row>
    <row r="529" spans="1:18" ht="15.75" hidden="1">
      <c r="A529" s="72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</row>
    <row r="530" spans="1:18" ht="15.75" hidden="1">
      <c r="A530" s="72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</row>
    <row r="531" spans="1:18" ht="15.75" hidden="1">
      <c r="A531" s="72"/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</row>
    <row r="532" spans="1:18" ht="15.75" hidden="1">
      <c r="A532" s="72"/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</row>
    <row r="533" spans="1:18" ht="15.75" hidden="1">
      <c r="A533" s="72"/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</row>
    <row r="534" spans="1:18" ht="15.75" hidden="1">
      <c r="A534" s="93"/>
      <c r="B534" s="93"/>
      <c r="C534" s="93"/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130"/>
      <c r="P534" s="130"/>
      <c r="Q534" s="130"/>
      <c r="R534" s="93"/>
    </row>
    <row r="535" spans="1:18" ht="15.75" hidden="1">
      <c r="A535" s="93"/>
      <c r="B535" s="131"/>
      <c r="C535" s="131"/>
      <c r="D535" s="93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130"/>
      <c r="P535" s="130"/>
      <c r="Q535" s="130"/>
      <c r="R535" s="93"/>
    </row>
    <row r="536" spans="1:18" ht="15.75" hidden="1">
      <c r="A536" s="93"/>
      <c r="B536" s="93"/>
      <c r="C536" s="93"/>
      <c r="D536" s="93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130"/>
      <c r="P536" s="130"/>
      <c r="Q536" s="130"/>
      <c r="R536" s="93"/>
    </row>
    <row r="537" spans="1:18" ht="15.75" hidden="1">
      <c r="A537" s="93"/>
      <c r="B537" s="93"/>
      <c r="C537" s="93"/>
      <c r="D537" s="93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130"/>
      <c r="P537" s="130"/>
      <c r="Q537" s="130"/>
      <c r="R537" s="93"/>
    </row>
    <row r="538" spans="1:18" ht="15.75" hidden="1">
      <c r="A538" s="93"/>
      <c r="B538" s="93"/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</row>
    <row r="539" spans="1:18" ht="15.75" hidden="1">
      <c r="A539" s="93"/>
      <c r="B539" s="93"/>
      <c r="C539" s="93"/>
      <c r="D539" s="93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</row>
    <row r="540" spans="1:18" ht="15.75" hidden="1">
      <c r="A540" s="93"/>
      <c r="B540" s="93"/>
      <c r="C540" s="93"/>
      <c r="D540" s="93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</row>
    <row r="541" spans="1:18" ht="12.75" customHeight="1" hidden="1">
      <c r="A541" s="625"/>
      <c r="B541" s="93"/>
      <c r="C541" s="93"/>
      <c r="D541" s="582"/>
      <c r="E541" s="132"/>
      <c r="F541" s="93"/>
      <c r="G541" s="93"/>
      <c r="H541" s="625"/>
      <c r="I541" s="625"/>
      <c r="J541" s="625"/>
      <c r="K541" s="625"/>
      <c r="L541" s="625"/>
      <c r="M541" s="625"/>
      <c r="N541" s="625"/>
      <c r="O541" s="93"/>
      <c r="P541" s="93"/>
      <c r="Q541" s="93"/>
      <c r="R541" s="93"/>
    </row>
    <row r="542" spans="1:18" ht="12.75" customHeight="1" hidden="1">
      <c r="A542" s="625"/>
      <c r="B542" s="93"/>
      <c r="C542" s="93"/>
      <c r="D542" s="582"/>
      <c r="E542" s="132"/>
      <c r="F542" s="582"/>
      <c r="G542" s="132"/>
      <c r="H542" s="582"/>
      <c r="I542" s="582"/>
      <c r="J542" s="486"/>
      <c r="K542" s="486"/>
      <c r="L542" s="486"/>
      <c r="M542" s="486"/>
      <c r="N542" s="486"/>
      <c r="O542" s="93"/>
      <c r="P542" s="93"/>
      <c r="Q542" s="93"/>
      <c r="R542" s="93"/>
    </row>
    <row r="543" spans="1:18" ht="15.75" hidden="1">
      <c r="A543" s="625"/>
      <c r="B543" s="93"/>
      <c r="C543" s="93"/>
      <c r="D543" s="582"/>
      <c r="E543" s="132"/>
      <c r="F543" s="582"/>
      <c r="G543" s="132"/>
      <c r="H543" s="582"/>
      <c r="I543" s="582"/>
      <c r="J543" s="486"/>
      <c r="K543" s="486"/>
      <c r="L543" s="486"/>
      <c r="M543" s="486"/>
      <c r="N543" s="486"/>
      <c r="O543" s="100"/>
      <c r="P543" s="100"/>
      <c r="Q543" s="100"/>
      <c r="R543" s="93"/>
    </row>
    <row r="544" spans="1:18" ht="15.75" hidden="1">
      <c r="A544" s="118"/>
      <c r="B544" s="93"/>
      <c r="C544" s="93"/>
      <c r="D544" s="582"/>
      <c r="E544" s="132"/>
      <c r="F544" s="582"/>
      <c r="G544" s="132"/>
      <c r="H544" s="582"/>
      <c r="I544" s="582"/>
      <c r="J544" s="486"/>
      <c r="K544" s="486"/>
      <c r="L544" s="486"/>
      <c r="M544" s="486"/>
      <c r="N544" s="486"/>
      <c r="O544" s="100"/>
      <c r="P544" s="100"/>
      <c r="Q544" s="100"/>
      <c r="R544" s="93"/>
    </row>
    <row r="545" spans="1:18" ht="12" customHeight="1" hidden="1">
      <c r="A545" s="118"/>
      <c r="B545" s="93"/>
      <c r="C545" s="93"/>
      <c r="D545" s="582"/>
      <c r="E545" s="132"/>
      <c r="F545" s="582"/>
      <c r="G545" s="132"/>
      <c r="H545" s="582"/>
      <c r="I545" s="582"/>
      <c r="J545" s="486"/>
      <c r="K545" s="486"/>
      <c r="L545" s="486"/>
      <c r="M545" s="486"/>
      <c r="N545" s="486"/>
      <c r="O545" s="100"/>
      <c r="P545" s="100"/>
      <c r="Q545" s="100"/>
      <c r="R545" s="93"/>
    </row>
    <row r="546" spans="1:18" ht="15.75" hidden="1">
      <c r="A546" s="93"/>
      <c r="B546" s="93"/>
      <c r="C546" s="93"/>
      <c r="D546" s="133"/>
      <c r="E546" s="133"/>
      <c r="F546" s="134"/>
      <c r="G546" s="134"/>
      <c r="H546" s="134"/>
      <c r="I546" s="134"/>
      <c r="J546" s="135"/>
      <c r="K546" s="134"/>
      <c r="L546" s="134"/>
      <c r="M546" s="134"/>
      <c r="N546" s="134"/>
      <c r="O546" s="117"/>
      <c r="P546" s="117"/>
      <c r="Q546" s="117"/>
      <c r="R546" s="117"/>
    </row>
    <row r="547" spans="1:18" ht="15.75" hidden="1">
      <c r="A547" s="93"/>
      <c r="B547" s="93"/>
      <c r="C547" s="93"/>
      <c r="D547" s="133"/>
      <c r="E547" s="133"/>
      <c r="F547" s="93"/>
      <c r="G547" s="93"/>
      <c r="H547" s="93"/>
      <c r="I547" s="93"/>
      <c r="J547" s="135"/>
      <c r="K547" s="134"/>
      <c r="L547" s="93"/>
      <c r="M547" s="93"/>
      <c r="N547" s="93"/>
      <c r="O547" s="117"/>
      <c r="P547" s="117"/>
      <c r="Q547" s="117"/>
      <c r="R547" s="117"/>
    </row>
    <row r="548" spans="1:18" ht="15.75" hidden="1">
      <c r="A548" s="93"/>
      <c r="B548" s="93"/>
      <c r="C548" s="93"/>
      <c r="D548" s="133"/>
      <c r="E548" s="133"/>
      <c r="F548" s="93"/>
      <c r="G548" s="93"/>
      <c r="H548" s="93"/>
      <c r="I548" s="93"/>
      <c r="J548" s="117"/>
      <c r="K548" s="134"/>
      <c r="L548" s="93"/>
      <c r="M548" s="93"/>
      <c r="N548" s="93"/>
      <c r="O548" s="117"/>
      <c r="P548" s="117"/>
      <c r="Q548" s="117"/>
      <c r="R548" s="117"/>
    </row>
    <row r="549" spans="1:18" ht="15.75" hidden="1">
      <c r="A549" s="93"/>
      <c r="B549" s="93"/>
      <c r="C549" s="93"/>
      <c r="D549" s="133"/>
      <c r="E549" s="133"/>
      <c r="F549" s="93"/>
      <c r="G549" s="93"/>
      <c r="H549" s="93"/>
      <c r="I549" s="93"/>
      <c r="J549" s="117"/>
      <c r="K549" s="134"/>
      <c r="L549" s="93"/>
      <c r="M549" s="93"/>
      <c r="N549" s="93"/>
      <c r="O549" s="117"/>
      <c r="P549" s="117"/>
      <c r="Q549" s="117"/>
      <c r="R549" s="117"/>
    </row>
    <row r="550" spans="1:18" ht="15.75" hidden="1">
      <c r="A550" s="93"/>
      <c r="B550" s="93"/>
      <c r="C550" s="93"/>
      <c r="D550" s="133"/>
      <c r="E550" s="133"/>
      <c r="F550" s="93"/>
      <c r="G550" s="93"/>
      <c r="H550" s="93"/>
      <c r="I550" s="93"/>
      <c r="J550" s="117"/>
      <c r="K550" s="134"/>
      <c r="L550" s="93"/>
      <c r="M550" s="93"/>
      <c r="N550" s="93"/>
      <c r="O550" s="117"/>
      <c r="P550" s="117"/>
      <c r="Q550" s="117"/>
      <c r="R550" s="117"/>
    </row>
    <row r="551" spans="1:18" ht="15.75" hidden="1">
      <c r="A551" s="93"/>
      <c r="B551" s="93"/>
      <c r="C551" s="93"/>
      <c r="D551" s="133"/>
      <c r="E551" s="133"/>
      <c r="F551" s="93"/>
      <c r="G551" s="93"/>
      <c r="H551" s="93"/>
      <c r="I551" s="93"/>
      <c r="J551" s="117"/>
      <c r="K551" s="134"/>
      <c r="L551" s="93"/>
      <c r="M551" s="93"/>
      <c r="N551" s="93"/>
      <c r="O551" s="117"/>
      <c r="P551" s="117"/>
      <c r="Q551" s="117"/>
      <c r="R551" s="117"/>
    </row>
    <row r="552" spans="1:18" ht="15.75" hidden="1">
      <c r="A552" s="93"/>
      <c r="B552" s="93"/>
      <c r="C552" s="93"/>
      <c r="D552" s="133"/>
      <c r="E552" s="133"/>
      <c r="F552" s="93"/>
      <c r="G552" s="93"/>
      <c r="H552" s="93"/>
      <c r="I552" s="93"/>
      <c r="J552" s="93"/>
      <c r="K552" s="93"/>
      <c r="L552" s="93"/>
      <c r="M552" s="93"/>
      <c r="N552" s="93"/>
      <c r="O552" s="117"/>
      <c r="P552" s="117"/>
      <c r="Q552" s="117"/>
      <c r="R552" s="117"/>
    </row>
    <row r="553" spans="1:18" ht="15.75" hidden="1">
      <c r="A553" s="93"/>
      <c r="B553" s="93"/>
      <c r="C553" s="93"/>
      <c r="D553" s="133"/>
      <c r="E553" s="133"/>
      <c r="F553" s="93"/>
      <c r="G553" s="93"/>
      <c r="H553" s="93"/>
      <c r="I553" s="93"/>
      <c r="J553" s="93"/>
      <c r="K553" s="93"/>
      <c r="L553" s="93"/>
      <c r="M553" s="93"/>
      <c r="N553" s="93"/>
      <c r="O553" s="117"/>
      <c r="P553" s="117"/>
      <c r="Q553" s="117"/>
      <c r="R553" s="117"/>
    </row>
    <row r="554" spans="1:18" ht="15.75" hidden="1">
      <c r="A554" s="93"/>
      <c r="B554" s="93"/>
      <c r="C554" s="93"/>
      <c r="D554" s="93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</row>
    <row r="555" spans="1:18" ht="15.75" hidden="1">
      <c r="A555" s="93"/>
      <c r="B555" s="93"/>
      <c r="C555" s="93"/>
      <c r="D555" s="93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</row>
    <row r="556" spans="1:19" ht="15.75">
      <c r="A556" s="130"/>
      <c r="B556" s="130"/>
      <c r="C556" s="130"/>
      <c r="D556" s="130"/>
      <c r="E556" s="130"/>
      <c r="F556" s="130"/>
      <c r="G556" s="130"/>
      <c r="H556" s="130"/>
      <c r="I556" s="130"/>
      <c r="J556" s="357"/>
      <c r="K556" s="487" t="s">
        <v>138</v>
      </c>
      <c r="L556" s="487"/>
      <c r="M556" s="487"/>
      <c r="N556" s="487"/>
      <c r="O556" s="487"/>
      <c r="P556" s="487"/>
      <c r="Q556" s="487"/>
      <c r="R556" s="487"/>
      <c r="S556" s="60"/>
    </row>
    <row r="557" spans="1:19" ht="15.75">
      <c r="A557" s="130"/>
      <c r="B557" s="130"/>
      <c r="C557" s="130"/>
      <c r="D557" s="130"/>
      <c r="E557" s="130"/>
      <c r="F557" s="130"/>
      <c r="G557" s="130"/>
      <c r="H557" s="130"/>
      <c r="I557" s="130"/>
      <c r="J557" s="200" t="s">
        <v>359</v>
      </c>
      <c r="K557" s="200"/>
      <c r="L557" s="200"/>
      <c r="M557" s="200"/>
      <c r="N557" s="200"/>
      <c r="O557" s="173"/>
      <c r="P557" s="173"/>
      <c r="Q557" s="173"/>
      <c r="R557" s="357"/>
      <c r="S557" s="60"/>
    </row>
    <row r="558" spans="1:18" ht="15.75">
      <c r="A558" s="93"/>
      <c r="B558" s="93"/>
      <c r="C558" s="93"/>
      <c r="D558" s="93"/>
      <c r="E558" s="93"/>
      <c r="F558" s="93"/>
      <c r="G558" s="93"/>
      <c r="H558" s="93"/>
      <c r="I558" s="93"/>
      <c r="J558" s="487" t="s">
        <v>358</v>
      </c>
      <c r="K558" s="487"/>
      <c r="L558" s="487"/>
      <c r="M558" s="487"/>
      <c r="N558" s="487"/>
      <c r="O558" s="487"/>
      <c r="P558" s="358"/>
      <c r="Q558" s="358"/>
      <c r="R558" s="156"/>
    </row>
    <row r="559" spans="1:18" ht="15.75">
      <c r="A559" s="93"/>
      <c r="B559" s="93"/>
      <c r="C559" s="93"/>
      <c r="D559" s="93"/>
      <c r="E559" s="93"/>
      <c r="F559" s="93"/>
      <c r="G559" s="93"/>
      <c r="H559" s="93"/>
      <c r="I559" s="93"/>
      <c r="J559" s="487" t="s">
        <v>370</v>
      </c>
      <c r="K559" s="487"/>
      <c r="L559" s="487"/>
      <c r="M559" s="487"/>
      <c r="N559" s="487"/>
      <c r="O559" s="487"/>
      <c r="P559" s="358"/>
      <c r="Q559" s="358"/>
      <c r="R559" s="156"/>
    </row>
    <row r="560" spans="1:18" ht="15.75">
      <c r="A560" s="93"/>
      <c r="B560" s="512" t="s">
        <v>369</v>
      </c>
      <c r="C560" s="512"/>
      <c r="D560" s="512"/>
      <c r="E560" s="512"/>
      <c r="F560" s="512"/>
      <c r="G560" s="512"/>
      <c r="H560" s="512"/>
      <c r="I560" s="93"/>
      <c r="J560" s="198"/>
      <c r="K560" s="200"/>
      <c r="L560" s="200"/>
      <c r="M560" s="200"/>
      <c r="N560" s="200"/>
      <c r="O560" s="200"/>
      <c r="P560" s="200"/>
      <c r="Q560" s="200"/>
      <c r="R560" s="200"/>
    </row>
    <row r="561" spans="1:18" ht="15.75">
      <c r="A561" s="72"/>
      <c r="B561" s="89"/>
      <c r="C561" s="90"/>
      <c r="D561" s="72"/>
      <c r="E561" s="72"/>
      <c r="F561" s="72"/>
      <c r="G561" s="72"/>
      <c r="H561" s="72"/>
      <c r="I561" s="72"/>
      <c r="J561" s="488"/>
      <c r="K561" s="488"/>
      <c r="L561" s="488"/>
      <c r="M561" s="488"/>
      <c r="N561" s="488"/>
      <c r="O561" s="488"/>
      <c r="P561" s="407"/>
      <c r="Q561" s="407"/>
      <c r="R561" s="72"/>
    </row>
    <row r="562" spans="1:18" ht="18.75">
      <c r="A562" s="72"/>
      <c r="B562" s="653" t="s">
        <v>249</v>
      </c>
      <c r="C562" s="653"/>
      <c r="D562" s="653"/>
      <c r="E562" s="653"/>
      <c r="F562" s="653"/>
      <c r="G562" s="653"/>
      <c r="H562" s="653"/>
      <c r="I562" s="72"/>
      <c r="J562" s="488"/>
      <c r="K562" s="488"/>
      <c r="L562" s="488"/>
      <c r="M562" s="488"/>
      <c r="N562" s="488"/>
      <c r="O562" s="488"/>
      <c r="P562" s="407"/>
      <c r="Q562" s="407"/>
      <c r="R562" s="72"/>
    </row>
    <row r="563" spans="1:18" ht="15.75">
      <c r="A563" s="72"/>
      <c r="B563" s="583" t="s">
        <v>16</v>
      </c>
      <c r="C563" s="583"/>
      <c r="D563" s="583"/>
      <c r="E563" s="583"/>
      <c r="F563" s="583"/>
      <c r="G563" s="583"/>
      <c r="H563" s="583"/>
      <c r="I563" s="72"/>
      <c r="J563" s="93"/>
      <c r="K563" s="93"/>
      <c r="L563" s="93"/>
      <c r="M563" s="93"/>
      <c r="N563" s="93"/>
      <c r="O563" s="93"/>
      <c r="P563" s="93"/>
      <c r="Q563" s="93"/>
      <c r="R563" s="72"/>
    </row>
    <row r="564" spans="1:18" ht="15.75">
      <c r="A564" s="72"/>
      <c r="B564" s="72"/>
      <c r="C564" s="72"/>
      <c r="D564" s="72"/>
      <c r="E564" s="72"/>
      <c r="F564" s="72"/>
      <c r="G564" s="72"/>
      <c r="H564" s="72"/>
      <c r="I564" s="72"/>
      <c r="J564" s="93"/>
      <c r="K564" s="93"/>
      <c r="L564" s="93"/>
      <c r="M564" s="93"/>
      <c r="N564" s="93"/>
      <c r="O564" s="93"/>
      <c r="P564" s="93"/>
      <c r="Q564" s="93"/>
      <c r="R564" s="72"/>
    </row>
    <row r="565" spans="1:18" ht="15.75">
      <c r="A565" s="72"/>
      <c r="B565" s="72"/>
      <c r="C565" s="72"/>
      <c r="D565" s="72"/>
      <c r="E565" s="72"/>
      <c r="F565" s="72"/>
      <c r="G565" s="72"/>
      <c r="H565" s="72"/>
      <c r="I565" s="72"/>
      <c r="J565" s="93"/>
      <c r="K565" s="93"/>
      <c r="L565" s="93"/>
      <c r="M565" s="93"/>
      <c r="N565" s="93"/>
      <c r="O565" s="93"/>
      <c r="P565" s="93"/>
      <c r="Q565" s="93"/>
      <c r="R565" s="72"/>
    </row>
    <row r="566" spans="1:18" ht="15.75">
      <c r="A566" s="72"/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</row>
    <row r="567" spans="1:18" ht="12.75" customHeight="1">
      <c r="A567" s="502" t="s">
        <v>1</v>
      </c>
      <c r="B567" s="202" t="s">
        <v>2</v>
      </c>
      <c r="C567" s="203" t="s">
        <v>4</v>
      </c>
      <c r="D567" s="504" t="s">
        <v>321</v>
      </c>
      <c r="E567" s="504" t="s">
        <v>322</v>
      </c>
      <c r="F567" s="161" t="s">
        <v>76</v>
      </c>
      <c r="G567" s="359"/>
      <c r="H567" s="205" t="s">
        <v>77</v>
      </c>
      <c r="I567" s="496" t="s">
        <v>8</v>
      </c>
      <c r="J567" s="497"/>
      <c r="K567" s="497"/>
      <c r="L567" s="497"/>
      <c r="M567" s="497"/>
      <c r="N567" s="517"/>
      <c r="O567" s="202" t="s">
        <v>13</v>
      </c>
      <c r="P567" s="493" t="s">
        <v>339</v>
      </c>
      <c r="Q567" s="473" t="s">
        <v>340</v>
      </c>
      <c r="R567" s="203" t="s">
        <v>13</v>
      </c>
    </row>
    <row r="568" spans="1:18" ht="12.75" customHeight="1">
      <c r="A568" s="503"/>
      <c r="B568" s="209" t="s">
        <v>3</v>
      </c>
      <c r="C568" s="209" t="s">
        <v>5</v>
      </c>
      <c r="D568" s="504"/>
      <c r="E568" s="504"/>
      <c r="F568" s="479">
        <v>0.5</v>
      </c>
      <c r="G568" s="360"/>
      <c r="H568" s="479" t="s">
        <v>248</v>
      </c>
      <c r="I568" s="485"/>
      <c r="J568" s="489"/>
      <c r="K568" s="479"/>
      <c r="L568" s="489" t="s">
        <v>113</v>
      </c>
      <c r="M568" s="489" t="s">
        <v>114</v>
      </c>
      <c r="N568" s="482"/>
      <c r="O568" s="209" t="s">
        <v>11</v>
      </c>
      <c r="P568" s="494"/>
      <c r="Q568" s="474"/>
      <c r="R568" s="210" t="s">
        <v>57</v>
      </c>
    </row>
    <row r="569" spans="1:18" ht="12.75" customHeight="1">
      <c r="A569" s="503"/>
      <c r="B569" s="209"/>
      <c r="C569" s="209" t="s">
        <v>6</v>
      </c>
      <c r="D569" s="504"/>
      <c r="E569" s="504"/>
      <c r="F569" s="480"/>
      <c r="G569" s="362"/>
      <c r="H569" s="480"/>
      <c r="I569" s="480"/>
      <c r="J569" s="483"/>
      <c r="K569" s="490"/>
      <c r="L569" s="483"/>
      <c r="M569" s="483"/>
      <c r="N569" s="483"/>
      <c r="O569" s="363" t="s">
        <v>12</v>
      </c>
      <c r="P569" s="494"/>
      <c r="Q569" s="474"/>
      <c r="R569" s="210"/>
    </row>
    <row r="570" spans="1:18" ht="12.75" customHeight="1">
      <c r="A570" s="208"/>
      <c r="B570" s="209"/>
      <c r="C570" s="209"/>
      <c r="D570" s="504"/>
      <c r="E570" s="504"/>
      <c r="F570" s="480"/>
      <c r="G570" s="362"/>
      <c r="H570" s="480"/>
      <c r="I570" s="480"/>
      <c r="J570" s="483"/>
      <c r="K570" s="490"/>
      <c r="L570" s="483"/>
      <c r="M570" s="483"/>
      <c r="N570" s="483"/>
      <c r="O570" s="363" t="s">
        <v>115</v>
      </c>
      <c r="P570" s="494"/>
      <c r="Q570" s="474"/>
      <c r="R570" s="210" t="s">
        <v>115</v>
      </c>
    </row>
    <row r="571" spans="1:18" ht="51" customHeight="1">
      <c r="A571" s="212"/>
      <c r="B571" s="214"/>
      <c r="C571" s="214"/>
      <c r="D571" s="504"/>
      <c r="E571" s="504"/>
      <c r="F571" s="481"/>
      <c r="G571" s="364"/>
      <c r="H571" s="481"/>
      <c r="I571" s="481"/>
      <c r="J571" s="484"/>
      <c r="K571" s="491"/>
      <c r="L571" s="484"/>
      <c r="M571" s="484"/>
      <c r="N571" s="484"/>
      <c r="O571" s="213"/>
      <c r="P571" s="495"/>
      <c r="Q571" s="475"/>
      <c r="R571" s="216"/>
    </row>
    <row r="572" spans="1:18" ht="50.25" customHeight="1">
      <c r="A572" s="217">
        <v>1</v>
      </c>
      <c r="B572" s="218" t="s">
        <v>315</v>
      </c>
      <c r="C572" s="216">
        <v>1</v>
      </c>
      <c r="D572" s="220">
        <v>2912</v>
      </c>
      <c r="E572" s="221">
        <v>10</v>
      </c>
      <c r="F572" s="222">
        <f>D572*F568*C572</f>
        <v>1456</v>
      </c>
      <c r="G572" s="222"/>
      <c r="H572" s="222">
        <f>(F572+D572)*50%</f>
        <v>2184</v>
      </c>
      <c r="I572" s="222"/>
      <c r="J572" s="222"/>
      <c r="K572" s="222"/>
      <c r="L572" s="222"/>
      <c r="M572" s="222"/>
      <c r="N572" s="222"/>
      <c r="O572" s="223">
        <f>D572*C572+F572+H572+I572+J572+K572+L572+M572+N572</f>
        <v>6552</v>
      </c>
      <c r="P572" s="223"/>
      <c r="Q572" s="223">
        <f>O572+P572</f>
        <v>6552</v>
      </c>
      <c r="R572" s="223">
        <f>O572*12</f>
        <v>78624</v>
      </c>
    </row>
    <row r="573" spans="1:18" ht="21" customHeight="1" hidden="1">
      <c r="A573" s="217"/>
      <c r="B573" s="161"/>
      <c r="C573" s="161"/>
      <c r="D573" s="220"/>
      <c r="E573" s="221" t="s">
        <v>116</v>
      </c>
      <c r="F573" s="222"/>
      <c r="G573" s="222"/>
      <c r="H573" s="170"/>
      <c r="I573" s="170"/>
      <c r="J573" s="170"/>
      <c r="K573" s="170"/>
      <c r="L573" s="170"/>
      <c r="M573" s="170"/>
      <c r="N573" s="170"/>
      <c r="O573" s="223">
        <f aca="true" t="shared" si="38" ref="O573:O581">D573*C573+F573+H573+I573+J573+K573+L573+M573+N573</f>
        <v>0</v>
      </c>
      <c r="P573" s="223"/>
      <c r="Q573" s="223">
        <f aca="true" t="shared" si="39" ref="Q573:Q583">O573+P573</f>
        <v>0</v>
      </c>
      <c r="R573" s="223">
        <f aca="true" t="shared" si="40" ref="R573:R583">O573*12</f>
        <v>0</v>
      </c>
    </row>
    <row r="574" spans="1:18" ht="32.25" customHeight="1">
      <c r="A574" s="217">
        <v>2</v>
      </c>
      <c r="B574" s="161" t="s">
        <v>85</v>
      </c>
      <c r="C574" s="161">
        <v>1</v>
      </c>
      <c r="D574" s="220">
        <v>2912</v>
      </c>
      <c r="E574" s="221">
        <v>10</v>
      </c>
      <c r="F574" s="222">
        <f>D574*50%*C574</f>
        <v>1456</v>
      </c>
      <c r="G574" s="222"/>
      <c r="H574" s="170">
        <f>(D574*C574+F574)*50%</f>
        <v>2184</v>
      </c>
      <c r="I574" s="170"/>
      <c r="J574" s="170"/>
      <c r="K574" s="170"/>
      <c r="L574" s="170"/>
      <c r="M574" s="170"/>
      <c r="N574" s="170"/>
      <c r="O574" s="223">
        <f t="shared" si="38"/>
        <v>6552</v>
      </c>
      <c r="P574" s="223"/>
      <c r="Q574" s="223">
        <f t="shared" si="39"/>
        <v>6552</v>
      </c>
      <c r="R574" s="223">
        <f t="shared" si="40"/>
        <v>78624</v>
      </c>
    </row>
    <row r="575" spans="1:18" ht="34.5" customHeight="1" hidden="1">
      <c r="A575" s="217"/>
      <c r="B575" s="161"/>
      <c r="C575" s="161"/>
      <c r="D575" s="220"/>
      <c r="E575" s="221"/>
      <c r="F575" s="222"/>
      <c r="G575" s="222"/>
      <c r="H575" s="170"/>
      <c r="I575" s="170"/>
      <c r="J575" s="170"/>
      <c r="K575" s="170"/>
      <c r="L575" s="170"/>
      <c r="M575" s="170"/>
      <c r="N575" s="170"/>
      <c r="O575" s="223">
        <f t="shared" si="38"/>
        <v>0</v>
      </c>
      <c r="P575" s="223"/>
      <c r="Q575" s="223">
        <f t="shared" si="39"/>
        <v>0</v>
      </c>
      <c r="R575" s="223">
        <f t="shared" si="40"/>
        <v>0</v>
      </c>
    </row>
    <row r="576" spans="1:18" ht="33.75" customHeight="1">
      <c r="A576" s="217">
        <v>4</v>
      </c>
      <c r="B576" s="161" t="s">
        <v>47</v>
      </c>
      <c r="C576" s="161">
        <v>2</v>
      </c>
      <c r="D576" s="220">
        <v>2624</v>
      </c>
      <c r="E576" s="221">
        <v>8</v>
      </c>
      <c r="F576" s="222">
        <f>D576*C576*F568</f>
        <v>2624</v>
      </c>
      <c r="G576" s="222"/>
      <c r="H576" s="170">
        <f>(D576*C576+F576)*25%</f>
        <v>1968</v>
      </c>
      <c r="I576" s="170"/>
      <c r="J576" s="170"/>
      <c r="K576" s="170"/>
      <c r="L576" s="170"/>
      <c r="M576" s="170"/>
      <c r="N576" s="170"/>
      <c r="O576" s="223">
        <f t="shared" si="38"/>
        <v>9840</v>
      </c>
      <c r="P576" s="223"/>
      <c r="Q576" s="223">
        <f t="shared" si="39"/>
        <v>9840</v>
      </c>
      <c r="R576" s="223">
        <f t="shared" si="40"/>
        <v>118080</v>
      </c>
    </row>
    <row r="577" spans="1:18" ht="32.25" customHeight="1" hidden="1">
      <c r="A577" s="217"/>
      <c r="B577" s="161"/>
      <c r="C577" s="161"/>
      <c r="D577" s="220"/>
      <c r="E577" s="221"/>
      <c r="F577" s="222"/>
      <c r="G577" s="222"/>
      <c r="H577" s="170"/>
      <c r="I577" s="170"/>
      <c r="J577" s="170"/>
      <c r="K577" s="170"/>
      <c r="L577" s="170"/>
      <c r="M577" s="170"/>
      <c r="N577" s="170"/>
      <c r="O577" s="223">
        <f t="shared" si="38"/>
        <v>0</v>
      </c>
      <c r="P577" s="223"/>
      <c r="Q577" s="223">
        <f t="shared" si="39"/>
        <v>0</v>
      </c>
      <c r="R577" s="223">
        <f t="shared" si="40"/>
        <v>0</v>
      </c>
    </row>
    <row r="578" spans="1:18" ht="32.25" customHeight="1">
      <c r="A578" s="217">
        <v>5</v>
      </c>
      <c r="B578" s="161" t="s">
        <v>47</v>
      </c>
      <c r="C578" s="161">
        <v>0.5</v>
      </c>
      <c r="D578" s="220">
        <v>2464</v>
      </c>
      <c r="E578" s="221">
        <v>7</v>
      </c>
      <c r="F578" s="222">
        <f>D578*50%</f>
        <v>1232</v>
      </c>
      <c r="G578" s="222"/>
      <c r="H578" s="170">
        <f>(D578+F578)*25%</f>
        <v>924</v>
      </c>
      <c r="I578" s="170"/>
      <c r="J578" s="170"/>
      <c r="K578" s="170"/>
      <c r="L578" s="170"/>
      <c r="M578" s="170"/>
      <c r="N578" s="170"/>
      <c r="O578" s="223">
        <f>D578*C578+F578+H578+I578+J578+K578+L578+M578+N578</f>
        <v>3388</v>
      </c>
      <c r="P578" s="223"/>
      <c r="Q578" s="223">
        <f t="shared" si="39"/>
        <v>3388</v>
      </c>
      <c r="R578" s="223">
        <f t="shared" si="40"/>
        <v>40656</v>
      </c>
    </row>
    <row r="579" spans="1:18" ht="32.25" customHeight="1">
      <c r="A579" s="217">
        <v>6</v>
      </c>
      <c r="B579" s="161" t="s">
        <v>58</v>
      </c>
      <c r="C579" s="161">
        <v>1.25</v>
      </c>
      <c r="D579" s="220">
        <v>2176</v>
      </c>
      <c r="E579" s="221">
        <v>5</v>
      </c>
      <c r="F579" s="222">
        <f>D579*C579*50%</f>
        <v>1360</v>
      </c>
      <c r="G579" s="222"/>
      <c r="H579" s="170"/>
      <c r="I579" s="170"/>
      <c r="J579" s="170"/>
      <c r="K579" s="170"/>
      <c r="L579" s="170"/>
      <c r="M579" s="170"/>
      <c r="N579" s="170"/>
      <c r="O579" s="223">
        <f t="shared" si="38"/>
        <v>4080</v>
      </c>
      <c r="P579" s="223"/>
      <c r="Q579" s="223">
        <f t="shared" si="39"/>
        <v>4080</v>
      </c>
      <c r="R579" s="223">
        <f t="shared" si="40"/>
        <v>48960</v>
      </c>
    </row>
    <row r="580" spans="1:18" ht="30" customHeight="1">
      <c r="A580" s="217">
        <v>7</v>
      </c>
      <c r="B580" s="161" t="s">
        <v>59</v>
      </c>
      <c r="C580" s="161">
        <v>4.5</v>
      </c>
      <c r="D580" s="220">
        <v>2032</v>
      </c>
      <c r="E580" s="221">
        <v>4</v>
      </c>
      <c r="F580" s="222">
        <f>(D580*50%)*C580</f>
        <v>4572</v>
      </c>
      <c r="G580" s="222"/>
      <c r="H580" s="170">
        <f>(D580*C580+F580)*25%</f>
        <v>3429</v>
      </c>
      <c r="I580" s="170"/>
      <c r="J580" s="170"/>
      <c r="K580" s="170"/>
      <c r="L580" s="170"/>
      <c r="M580" s="170"/>
      <c r="N580" s="170"/>
      <c r="O580" s="223">
        <f t="shared" si="38"/>
        <v>17145</v>
      </c>
      <c r="P580" s="223"/>
      <c r="Q580" s="223">
        <f t="shared" si="39"/>
        <v>17145</v>
      </c>
      <c r="R580" s="223">
        <f t="shared" si="40"/>
        <v>205740</v>
      </c>
    </row>
    <row r="581" spans="1:18" ht="30.75" customHeight="1" hidden="1">
      <c r="A581" s="217">
        <v>8</v>
      </c>
      <c r="B581" s="161" t="s">
        <v>91</v>
      </c>
      <c r="C581" s="161"/>
      <c r="D581" s="220"/>
      <c r="E581" s="221"/>
      <c r="F581" s="170">
        <f>D581*50%</f>
        <v>0</v>
      </c>
      <c r="G581" s="170"/>
      <c r="H581" s="170"/>
      <c r="I581" s="170"/>
      <c r="J581" s="170"/>
      <c r="K581" s="170"/>
      <c r="L581" s="170"/>
      <c r="M581" s="170"/>
      <c r="N581" s="170"/>
      <c r="O581" s="223">
        <f t="shared" si="38"/>
        <v>0</v>
      </c>
      <c r="P581" s="223"/>
      <c r="Q581" s="223">
        <f t="shared" si="39"/>
        <v>0</v>
      </c>
      <c r="R581" s="223">
        <f t="shared" si="40"/>
        <v>0</v>
      </c>
    </row>
    <row r="582" spans="1:18" ht="23.25" customHeight="1" hidden="1">
      <c r="A582" s="574">
        <v>8</v>
      </c>
      <c r="B582" s="203"/>
      <c r="C582" s="613">
        <v>0.25</v>
      </c>
      <c r="D582" s="220"/>
      <c r="E582" s="221"/>
      <c r="F582" s="574"/>
      <c r="G582" s="365"/>
      <c r="H582" s="574"/>
      <c r="I582" s="574"/>
      <c r="J582" s="574"/>
      <c r="K582" s="574"/>
      <c r="L582" s="571">
        <f>D583*10%*C582</f>
        <v>43.6</v>
      </c>
      <c r="M582" s="574"/>
      <c r="N582" s="574"/>
      <c r="O582" s="223"/>
      <c r="P582" s="223">
        <f>3200*C581-D582*C581</f>
        <v>0</v>
      </c>
      <c r="Q582" s="223">
        <f t="shared" si="39"/>
        <v>0</v>
      </c>
      <c r="R582" s="223">
        <f t="shared" si="40"/>
        <v>0</v>
      </c>
    </row>
    <row r="583" spans="1:18" ht="31.5">
      <c r="A583" s="575"/>
      <c r="B583" s="366" t="s">
        <v>136</v>
      </c>
      <c r="C583" s="614"/>
      <c r="D583" s="220">
        <v>1744</v>
      </c>
      <c r="E583" s="221">
        <v>2</v>
      </c>
      <c r="F583" s="575"/>
      <c r="G583" s="217"/>
      <c r="H583" s="575"/>
      <c r="I583" s="575"/>
      <c r="J583" s="575"/>
      <c r="K583" s="575"/>
      <c r="L583" s="572"/>
      <c r="M583" s="575"/>
      <c r="N583" s="575"/>
      <c r="O583" s="223">
        <f>D583*C582+F582+G583+H582+I582+J582+K582+L582+M582+N582</f>
        <v>479.6</v>
      </c>
      <c r="P583" s="223">
        <f>3200*C582-D583*C582</f>
        <v>364</v>
      </c>
      <c r="Q583" s="223">
        <f t="shared" si="39"/>
        <v>843.6</v>
      </c>
      <c r="R583" s="223">
        <f t="shared" si="40"/>
        <v>5755.200000000001</v>
      </c>
    </row>
    <row r="584" spans="1:18" ht="15.75">
      <c r="A584" s="204"/>
      <c r="B584" s="366"/>
      <c r="C584" s="161"/>
      <c r="D584" s="220"/>
      <c r="E584" s="220"/>
      <c r="F584" s="170"/>
      <c r="G584" s="170"/>
      <c r="H584" s="170"/>
      <c r="I584" s="170"/>
      <c r="J584" s="170"/>
      <c r="K584" s="170"/>
      <c r="L584" s="170"/>
      <c r="M584" s="170"/>
      <c r="N584" s="170"/>
      <c r="O584" s="223"/>
      <c r="P584" s="223"/>
      <c r="Q584" s="223"/>
      <c r="R584" s="223"/>
    </row>
    <row r="585" spans="1:18" ht="15.75" hidden="1">
      <c r="A585" s="161"/>
      <c r="B585" s="367"/>
      <c r="C585" s="367"/>
      <c r="D585" s="367"/>
      <c r="E585" s="367"/>
      <c r="F585" s="367"/>
      <c r="G585" s="367"/>
      <c r="H585" s="367"/>
      <c r="I585" s="367"/>
      <c r="J585" s="367"/>
      <c r="K585" s="170"/>
      <c r="L585" s="170"/>
      <c r="M585" s="170"/>
      <c r="N585" s="170"/>
      <c r="O585" s="223"/>
      <c r="P585" s="223"/>
      <c r="Q585" s="223"/>
      <c r="R585" s="223"/>
    </row>
    <row r="586" spans="1:18" ht="15.75" hidden="1">
      <c r="A586" s="161"/>
      <c r="B586" s="161"/>
      <c r="C586" s="161"/>
      <c r="D586" s="220"/>
      <c r="E586" s="220"/>
      <c r="F586" s="170"/>
      <c r="G586" s="170"/>
      <c r="H586" s="170"/>
      <c r="I586" s="170"/>
      <c r="J586" s="170"/>
      <c r="K586" s="170"/>
      <c r="L586" s="170"/>
      <c r="M586" s="170"/>
      <c r="N586" s="170"/>
      <c r="O586" s="223"/>
      <c r="P586" s="223"/>
      <c r="Q586" s="223"/>
      <c r="R586" s="223"/>
    </row>
    <row r="587" spans="1:18" ht="15.75">
      <c r="A587" s="161"/>
      <c r="B587" s="161"/>
      <c r="C587" s="161"/>
      <c r="D587" s="230"/>
      <c r="E587" s="230"/>
      <c r="F587" s="170"/>
      <c r="G587" s="170"/>
      <c r="H587" s="170"/>
      <c r="I587" s="170"/>
      <c r="J587" s="170"/>
      <c r="K587" s="170"/>
      <c r="L587" s="170"/>
      <c r="M587" s="170"/>
      <c r="N587" s="170"/>
      <c r="O587" s="223"/>
      <c r="P587" s="223"/>
      <c r="Q587" s="223"/>
      <c r="R587" s="223"/>
    </row>
    <row r="588" spans="1:24" ht="15.75">
      <c r="A588" s="161"/>
      <c r="B588" s="161" t="s">
        <v>15</v>
      </c>
      <c r="C588" s="170">
        <f>SUM(C572:C587)</f>
        <v>10.5</v>
      </c>
      <c r="D588" s="230">
        <f>D572+D575*C575+D576*C576+D577*C577+D578*C578+D579*C579+D580*C580+D581+D574*C574+D583*C582</f>
        <v>24604</v>
      </c>
      <c r="E588" s="230"/>
      <c r="F588" s="170">
        <f>SUM(F572:F587)</f>
        <v>12700</v>
      </c>
      <c r="G588" s="170"/>
      <c r="H588" s="170">
        <f>SUM(H572:H583)</f>
        <v>10689</v>
      </c>
      <c r="I588" s="170">
        <f aca="true" t="shared" si="41" ref="I588:N588">SUM(I572:I583)</f>
        <v>0</v>
      </c>
      <c r="J588" s="170">
        <f t="shared" si="41"/>
        <v>0</v>
      </c>
      <c r="K588" s="170">
        <f t="shared" si="41"/>
        <v>0</v>
      </c>
      <c r="L588" s="170">
        <f>SUM(L572:L583)</f>
        <v>43.6</v>
      </c>
      <c r="M588" s="170">
        <f t="shared" si="41"/>
        <v>0</v>
      </c>
      <c r="N588" s="170">
        <f t="shared" si="41"/>
        <v>0</v>
      </c>
      <c r="O588" s="368">
        <f>SUM(O572:O587)</f>
        <v>48036.6</v>
      </c>
      <c r="P588" s="319">
        <f>SUM(P572:P587)</f>
        <v>364</v>
      </c>
      <c r="Q588" s="368">
        <f>SUM(Q572:Q587)</f>
        <v>48400.6</v>
      </c>
      <c r="R588" s="170">
        <f>SUM(R572:R587)</f>
        <v>576439.2</v>
      </c>
      <c r="X588" s="312">
        <f>Q396+Q588</f>
        <v>187541.775</v>
      </c>
    </row>
    <row r="589" spans="1:24" ht="15.75">
      <c r="A589" s="612"/>
      <c r="B589" s="612"/>
      <c r="C589" s="612"/>
      <c r="D589" s="612"/>
      <c r="E589" s="612"/>
      <c r="F589" s="612"/>
      <c r="G589" s="612"/>
      <c r="H589" s="612"/>
      <c r="I589" s="612"/>
      <c r="J589" s="612"/>
      <c r="K589" s="612"/>
      <c r="L589" s="612"/>
      <c r="M589" s="612"/>
      <c r="N589" s="612"/>
      <c r="O589" s="612"/>
      <c r="P589" s="612"/>
      <c r="Q589" s="612"/>
      <c r="R589" s="612"/>
      <c r="X589" s="173"/>
    </row>
    <row r="590" spans="1:18" ht="15.75">
      <c r="A590" s="173"/>
      <c r="B590" s="173"/>
      <c r="C590" s="173"/>
      <c r="D590" s="173"/>
      <c r="E590" s="173"/>
      <c r="F590" s="173"/>
      <c r="G590" s="173"/>
      <c r="H590" s="173"/>
      <c r="I590" s="173"/>
      <c r="J590" s="173"/>
      <c r="K590" s="173"/>
      <c r="L590" s="173"/>
      <c r="M590" s="173"/>
      <c r="N590" s="173"/>
      <c r="O590" s="173"/>
      <c r="P590" s="173"/>
      <c r="Q590" s="173"/>
      <c r="R590" s="173"/>
    </row>
    <row r="591" spans="1:24" ht="15.75">
      <c r="A591" s="72"/>
      <c r="B591" s="72"/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83"/>
      <c r="X591" s="16">
        <f>P588+P396</f>
        <v>26179.2</v>
      </c>
    </row>
    <row r="592" spans="1:18" ht="15.75">
      <c r="A592" s="72"/>
      <c r="B592" s="72"/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83"/>
      <c r="P592" s="83"/>
      <c r="Q592" s="83"/>
      <c r="R592" s="136"/>
    </row>
    <row r="593" spans="1:22" ht="37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18" ht="14.25" customHeight="1">
      <c r="A594" s="172"/>
      <c r="B594" s="172"/>
      <c r="C594" s="200" t="s">
        <v>371</v>
      </c>
      <c r="D594" s="200"/>
      <c r="E594" s="200"/>
      <c r="F594" s="200"/>
      <c r="G594" s="200"/>
      <c r="H594" s="200"/>
      <c r="I594" s="200"/>
      <c r="J594" s="200"/>
      <c r="K594" s="198" t="s">
        <v>372</v>
      </c>
      <c r="L594" s="198"/>
      <c r="M594" s="198"/>
      <c r="N594" s="198"/>
      <c r="O594" s="172"/>
      <c r="P594" s="172"/>
      <c r="Q594" s="172"/>
      <c r="R594" s="172"/>
    </row>
    <row r="595" spans="1:18" ht="18.75">
      <c r="A595" s="198"/>
      <c r="B595" s="232"/>
      <c r="C595" s="232"/>
      <c r="D595" s="232"/>
      <c r="E595" s="232"/>
      <c r="F595" s="232"/>
      <c r="G595" s="232"/>
      <c r="H595" s="232"/>
      <c r="I595" s="232"/>
      <c r="J595" s="232"/>
      <c r="K595" s="232"/>
      <c r="L595" s="232"/>
      <c r="M595" s="232"/>
      <c r="N595" s="198"/>
      <c r="O595" s="198"/>
      <c r="P595" s="198"/>
      <c r="Q595" s="198"/>
      <c r="R595" s="198"/>
    </row>
    <row r="596" spans="1:18" ht="15.75">
      <c r="A596" s="172"/>
      <c r="B596" s="172"/>
      <c r="C596" s="173"/>
      <c r="D596" s="172"/>
      <c r="E596" s="172"/>
      <c r="F596" s="172"/>
      <c r="G596" s="172"/>
      <c r="H596" s="172"/>
      <c r="I596" s="172"/>
      <c r="J596" s="173"/>
      <c r="K596" s="172"/>
      <c r="L596" s="172"/>
      <c r="M596" s="172"/>
      <c r="N596" s="172"/>
      <c r="O596" s="172"/>
      <c r="P596" s="172"/>
      <c r="Q596" s="172"/>
      <c r="R596" s="172"/>
    </row>
    <row r="597" spans="1:18" ht="15">
      <c r="A597" s="469"/>
      <c r="B597" s="469"/>
      <c r="C597" s="469"/>
      <c r="D597" s="469"/>
      <c r="E597" s="469"/>
      <c r="F597" s="469"/>
      <c r="G597" s="469"/>
      <c r="H597" s="469"/>
      <c r="I597" s="469"/>
      <c r="J597" s="469"/>
      <c r="K597" s="469"/>
      <c r="L597" s="469"/>
      <c r="M597" s="469"/>
      <c r="N597" s="469"/>
      <c r="O597" s="469"/>
      <c r="P597" s="469"/>
      <c r="Q597" s="469"/>
      <c r="R597" s="469"/>
    </row>
    <row r="598" spans="1:18" ht="15">
      <c r="A598" s="172"/>
      <c r="B598" s="418" t="s">
        <v>368</v>
      </c>
      <c r="C598" s="172"/>
      <c r="D598" s="172"/>
      <c r="E598" s="172"/>
      <c r="F598" s="172"/>
      <c r="G598" s="172"/>
      <c r="H598" s="172"/>
      <c r="I598" s="172"/>
      <c r="J598" s="172"/>
      <c r="K598" s="172"/>
      <c r="L598" s="172"/>
      <c r="M598" s="172"/>
      <c r="N598" s="172"/>
      <c r="O598" s="172"/>
      <c r="P598" s="172"/>
      <c r="Q598" s="172"/>
      <c r="R598" s="172"/>
    </row>
    <row r="599" ht="15">
      <c r="B599" s="194">
        <v>42041</v>
      </c>
    </row>
    <row r="600" spans="1:18" ht="15.75">
      <c r="A600" s="72"/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</row>
    <row r="601" spans="1:18" ht="15.75">
      <c r="A601" s="137"/>
      <c r="B601" s="137"/>
      <c r="C601" s="137"/>
      <c r="D601" s="137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</row>
    <row r="602" spans="1:18" ht="15.75">
      <c r="A602" s="137"/>
      <c r="B602" s="137"/>
      <c r="C602" s="137"/>
      <c r="D602" s="137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</row>
    <row r="603" spans="1:18" ht="15.75">
      <c r="A603" s="137"/>
      <c r="B603" s="137"/>
      <c r="C603" s="137"/>
      <c r="D603" s="137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</row>
    <row r="604" spans="1:18" ht="15.75" hidden="1">
      <c r="A604" s="137"/>
      <c r="B604" s="137"/>
      <c r="C604" s="137"/>
      <c r="D604" s="137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</row>
    <row r="605" spans="1:18" ht="15.75" hidden="1">
      <c r="A605" s="137"/>
      <c r="B605" s="137"/>
      <c r="C605" s="137"/>
      <c r="D605" s="137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</row>
    <row r="606" spans="1:18" ht="15.75" hidden="1">
      <c r="A606" s="137"/>
      <c r="B606" s="137"/>
      <c r="C606" s="137"/>
      <c r="D606" s="137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</row>
    <row r="607" spans="1:18" ht="15.75" hidden="1">
      <c r="A607" s="137"/>
      <c r="B607" s="137"/>
      <c r="C607" s="137"/>
      <c r="D607" s="137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</row>
    <row r="608" spans="1:18" ht="15.75" hidden="1">
      <c r="A608" s="137"/>
      <c r="B608" s="137"/>
      <c r="C608" s="137"/>
      <c r="D608" s="137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</row>
    <row r="609" spans="1:18" ht="15.75" hidden="1">
      <c r="A609" s="137"/>
      <c r="B609" s="137"/>
      <c r="C609" s="137"/>
      <c r="D609" s="137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</row>
    <row r="610" spans="1:18" ht="15.75" hidden="1">
      <c r="A610" s="137"/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</row>
    <row r="611" spans="1:18" ht="15.75" customHeight="1" hidden="1">
      <c r="A611" s="72"/>
      <c r="B611" s="72"/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</row>
    <row r="612" spans="1:18" ht="15.75" customHeight="1" hidden="1">
      <c r="A612" s="93"/>
      <c r="B612" s="131"/>
      <c r="C612" s="138">
        <f>C101+C159+C222+C275+C328+C396+C588</f>
        <v>115.5</v>
      </c>
      <c r="D612" s="93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</row>
    <row r="613" spans="1:18" ht="15.75" hidden="1">
      <c r="A613" s="93"/>
      <c r="B613" s="131"/>
      <c r="C613" s="131"/>
      <c r="D613" s="131"/>
      <c r="E613" s="131"/>
      <c r="F613" s="93"/>
      <c r="G613" s="93"/>
      <c r="H613" s="93"/>
      <c r="I613" s="93"/>
      <c r="J613" s="93"/>
      <c r="K613" s="93"/>
      <c r="L613" s="130"/>
      <c r="M613" s="130"/>
      <c r="N613" s="130"/>
      <c r="O613" s="130"/>
      <c r="P613" s="130"/>
      <c r="Q613" s="130"/>
      <c r="R613" s="130"/>
    </row>
    <row r="614" spans="1:18" ht="15.75" hidden="1">
      <c r="A614" s="93"/>
      <c r="B614" s="93"/>
      <c r="C614" s="93"/>
      <c r="D614" s="93"/>
      <c r="E614" s="93"/>
      <c r="F614" s="93"/>
      <c r="G614" s="93"/>
      <c r="H614" s="93"/>
      <c r="I614" s="93"/>
      <c r="J614" s="93"/>
      <c r="K614" s="93"/>
      <c r="L614" s="130"/>
      <c r="M614" s="130"/>
      <c r="N614" s="130"/>
      <c r="O614" s="139"/>
      <c r="P614" s="139"/>
      <c r="Q614" s="139"/>
      <c r="R614" s="130"/>
    </row>
    <row r="615" spans="1:18" ht="15.75" hidden="1">
      <c r="A615" s="93"/>
      <c r="B615" s="93"/>
      <c r="C615" s="93"/>
      <c r="D615" s="133"/>
      <c r="E615" s="133"/>
      <c r="F615" s="117"/>
      <c r="G615" s="117"/>
      <c r="H615" s="93"/>
      <c r="I615" s="93"/>
      <c r="J615" s="93"/>
      <c r="K615" s="93"/>
      <c r="L615" s="130"/>
      <c r="M615" s="130"/>
      <c r="N615" s="130"/>
      <c r="O615" s="130"/>
      <c r="P615" s="130"/>
      <c r="Q615" s="130"/>
      <c r="R615" s="130"/>
    </row>
    <row r="616" spans="1:18" ht="16.5" hidden="1" thickBot="1">
      <c r="A616" s="93"/>
      <c r="B616" s="117"/>
      <c r="C616" s="93"/>
      <c r="D616" s="93"/>
      <c r="E616" s="93"/>
      <c r="F616" s="93"/>
      <c r="G616" s="93"/>
      <c r="H616" s="93"/>
      <c r="I616" s="93"/>
      <c r="J616" s="93"/>
      <c r="K616" s="93"/>
      <c r="L616" s="130"/>
      <c r="M616" s="130"/>
      <c r="N616" s="130"/>
      <c r="O616" s="130"/>
      <c r="P616" s="130"/>
      <c r="Q616" s="130"/>
      <c r="R616" s="130"/>
    </row>
    <row r="617" spans="1:18" ht="16.5" hidden="1" thickBot="1">
      <c r="A617" s="93"/>
      <c r="B617" s="140"/>
      <c r="C617" s="608"/>
      <c r="D617" s="624"/>
      <c r="E617" s="141"/>
      <c r="F617" s="141"/>
      <c r="G617" s="141"/>
      <c r="H617" s="141"/>
      <c r="I617" s="617"/>
      <c r="J617" s="617"/>
      <c r="K617" s="645"/>
      <c r="L617" s="608"/>
      <c r="M617" s="608"/>
      <c r="N617" s="611"/>
      <c r="O617" s="93"/>
      <c r="P617" s="93"/>
      <c r="Q617" s="93"/>
      <c r="R617" s="93"/>
    </row>
    <row r="618" spans="1:18" ht="16.5" hidden="1" thickBot="1">
      <c r="A618" s="134"/>
      <c r="B618" s="140"/>
      <c r="C618" s="608"/>
      <c r="D618" s="624"/>
      <c r="E618" s="142"/>
      <c r="F618" s="143"/>
      <c r="G618" s="143"/>
      <c r="H618" s="143"/>
      <c r="I618" s="617"/>
      <c r="J618" s="617"/>
      <c r="K618" s="607"/>
      <c r="L618" s="608"/>
      <c r="M618" s="608"/>
      <c r="N618" s="611"/>
      <c r="O618" s="93"/>
      <c r="P618" s="93"/>
      <c r="Q618" s="93"/>
      <c r="R618" s="93"/>
    </row>
    <row r="619" spans="1:18" ht="15.75" hidden="1">
      <c r="A619" s="134"/>
      <c r="B619" s="93"/>
      <c r="C619" s="626" t="s">
        <v>238</v>
      </c>
      <c r="D619" s="626"/>
      <c r="E619" s="626"/>
      <c r="F619" s="626"/>
      <c r="G619" s="626"/>
      <c r="H619" s="626"/>
      <c r="I619" s="626"/>
      <c r="J619" s="626"/>
      <c r="K619" s="626"/>
      <c r="L619" s="626"/>
      <c r="M619" s="486"/>
      <c r="N619" s="486"/>
      <c r="O619" s="93"/>
      <c r="P619" s="93"/>
      <c r="Q619" s="93"/>
      <c r="R619" s="93"/>
    </row>
    <row r="620" spans="1:18" ht="15.75" hidden="1">
      <c r="A620" s="134"/>
      <c r="B620" s="93"/>
      <c r="C620" s="627"/>
      <c r="D620" s="627"/>
      <c r="E620" s="627"/>
      <c r="F620" s="627"/>
      <c r="G620" s="627"/>
      <c r="H620" s="627"/>
      <c r="I620" s="627"/>
      <c r="J620" s="627"/>
      <c r="K620" s="627"/>
      <c r="L620" s="627"/>
      <c r="M620" s="582"/>
      <c r="N620" s="582"/>
      <c r="O620" s="100"/>
      <c r="P620" s="100"/>
      <c r="Q620" s="100"/>
      <c r="R620" s="117"/>
    </row>
    <row r="621" spans="1:18" ht="15.75" hidden="1">
      <c r="A621" s="118"/>
      <c r="B621" s="93"/>
      <c r="C621" s="627"/>
      <c r="D621" s="627"/>
      <c r="E621" s="627"/>
      <c r="F621" s="627"/>
      <c r="G621" s="627"/>
      <c r="H621" s="627"/>
      <c r="I621" s="627"/>
      <c r="J621" s="627"/>
      <c r="K621" s="627"/>
      <c r="L621" s="627"/>
      <c r="M621" s="582"/>
      <c r="N621" s="582"/>
      <c r="O621" s="100"/>
      <c r="P621" s="100"/>
      <c r="Q621" s="100"/>
      <c r="R621" s="93"/>
    </row>
    <row r="622" spans="1:18" ht="15.75" hidden="1">
      <c r="A622" s="118"/>
      <c r="B622" s="117"/>
      <c r="C622" s="627"/>
      <c r="D622" s="627"/>
      <c r="E622" s="627"/>
      <c r="F622" s="627"/>
      <c r="G622" s="627"/>
      <c r="H622" s="627"/>
      <c r="I622" s="627"/>
      <c r="J622" s="627"/>
      <c r="K622" s="627"/>
      <c r="L622" s="627"/>
      <c r="M622" s="582"/>
      <c r="N622" s="582"/>
      <c r="O622" s="100"/>
      <c r="P622" s="100"/>
      <c r="Q622" s="100"/>
      <c r="R622" s="93"/>
    </row>
    <row r="623" spans="1:18" ht="16.5" hidden="1" thickBot="1">
      <c r="A623" s="93"/>
      <c r="B623" s="93"/>
      <c r="C623" s="625" t="s">
        <v>73</v>
      </c>
      <c r="D623" s="625"/>
      <c r="E623" s="118"/>
      <c r="F623" s="135" t="s">
        <v>61</v>
      </c>
      <c r="G623" s="135"/>
      <c r="H623" s="93" t="s">
        <v>62</v>
      </c>
      <c r="I623" s="625" t="s">
        <v>63</v>
      </c>
      <c r="J623" s="625"/>
      <c r="K623" s="625" t="s">
        <v>52</v>
      </c>
      <c r="L623" s="625"/>
      <c r="M623" s="93" t="s">
        <v>52</v>
      </c>
      <c r="N623" s="93"/>
      <c r="O623" s="100" t="s">
        <v>80</v>
      </c>
      <c r="P623" s="100"/>
      <c r="Q623" s="100"/>
      <c r="R623" s="117"/>
    </row>
    <row r="624" spans="1:19" ht="21.75" customHeight="1" hidden="1" thickBot="1">
      <c r="A624" s="93"/>
      <c r="B624" s="144"/>
      <c r="C624" s="615"/>
      <c r="D624" s="616"/>
      <c r="E624" s="145"/>
      <c r="F624" s="146"/>
      <c r="G624" s="146"/>
      <c r="H624" s="147"/>
      <c r="I624" s="615"/>
      <c r="J624" s="616"/>
      <c r="K624" s="615"/>
      <c r="L624" s="616"/>
      <c r="M624" s="615"/>
      <c r="N624" s="644"/>
      <c r="O624" s="148">
        <f>O24</f>
        <v>0</v>
      </c>
      <c r="P624" s="117"/>
      <c r="Q624" s="117"/>
      <c r="R624" s="117"/>
      <c r="S624" s="3">
        <v>5845.1</v>
      </c>
    </row>
    <row r="625" spans="1:18" ht="21.75" customHeight="1" hidden="1">
      <c r="A625" s="93"/>
      <c r="B625" s="78" t="s">
        <v>67</v>
      </c>
      <c r="C625" s="552">
        <f>O100</f>
        <v>0</v>
      </c>
      <c r="D625" s="553"/>
      <c r="E625" s="95"/>
      <c r="F625" s="116">
        <f>O83+O85+O86+O87+O84</f>
        <v>28036.28</v>
      </c>
      <c r="G625" s="116"/>
      <c r="H625" s="74">
        <f>O88+O91+O89</f>
        <v>4882.4</v>
      </c>
      <c r="I625" s="552">
        <f>O92+O93+O94+O95+O96+O97+O98+O90+O99</f>
        <v>40638.399999999994</v>
      </c>
      <c r="J625" s="553"/>
      <c r="K625" s="552">
        <f>F625+H625+I625</f>
        <v>73557.07999999999</v>
      </c>
      <c r="L625" s="553"/>
      <c r="M625" s="492">
        <f>K625+C625+O625</f>
        <v>73557.07999999999</v>
      </c>
      <c r="N625" s="563"/>
      <c r="O625" s="117"/>
      <c r="P625" s="117"/>
      <c r="Q625" s="117"/>
      <c r="R625" s="117"/>
    </row>
    <row r="626" spans="1:18" ht="21.75" customHeight="1" hidden="1">
      <c r="A626" s="93"/>
      <c r="B626" s="78" t="s">
        <v>68</v>
      </c>
      <c r="C626" s="552"/>
      <c r="D626" s="553"/>
      <c r="E626" s="95"/>
      <c r="F626" s="116">
        <f>O142+O143+O152+O155+O156+O222</f>
        <v>59924.064</v>
      </c>
      <c r="G626" s="116"/>
      <c r="H626" s="74">
        <f>O153+O154+O157</f>
        <v>6931.2</v>
      </c>
      <c r="I626" s="553"/>
      <c r="J626" s="553"/>
      <c r="K626" s="552">
        <f>F626+H626+I626</f>
        <v>66855.264</v>
      </c>
      <c r="L626" s="553"/>
      <c r="M626" s="492">
        <f>K626+C626+O626</f>
        <v>66855.264</v>
      </c>
      <c r="N626" s="563"/>
      <c r="O626" s="117"/>
      <c r="P626" s="117"/>
      <c r="Q626" s="117"/>
      <c r="R626" s="117"/>
    </row>
    <row r="627" spans="1:18" ht="21.75" customHeight="1" hidden="1">
      <c r="A627" s="93"/>
      <c r="B627" s="78" t="s">
        <v>69</v>
      </c>
      <c r="C627" s="553"/>
      <c r="D627" s="553"/>
      <c r="E627" s="95"/>
      <c r="F627" s="116"/>
      <c r="G627" s="116"/>
      <c r="H627" s="74">
        <f>O311+O312+O313+O315+O316+O317+O319+O318</f>
        <v>78032.4</v>
      </c>
      <c r="I627" s="552">
        <f>O320+O321+O322</f>
        <v>9038.4</v>
      </c>
      <c r="J627" s="553"/>
      <c r="K627" s="552">
        <f>F627+H627+I627</f>
        <v>87070.79999999999</v>
      </c>
      <c r="L627" s="553"/>
      <c r="M627" s="492">
        <f>K627+C627+O627</f>
        <v>87070.79999999999</v>
      </c>
      <c r="N627" s="563"/>
      <c r="O627" s="117"/>
      <c r="P627" s="117"/>
      <c r="Q627" s="117"/>
      <c r="R627" s="117"/>
    </row>
    <row r="628" spans="1:18" ht="21.75" customHeight="1" hidden="1">
      <c r="A628" s="93"/>
      <c r="B628" s="78" t="s">
        <v>70</v>
      </c>
      <c r="C628" s="553"/>
      <c r="D628" s="553"/>
      <c r="E628" s="95"/>
      <c r="F628" s="116"/>
      <c r="G628" s="116"/>
      <c r="H628" s="74">
        <f>O371+O372+O373+O375+O376+O377+O379+O382+O390+O393+O572+O575+O576+O578+O580+O581+O374+O574</f>
        <v>93365.375</v>
      </c>
      <c r="I628" s="552">
        <f>O380+O381+O383+O386+O387+O388+O389+O392+O577+O582+O583+O579</f>
        <v>58757.2</v>
      </c>
      <c r="J628" s="553"/>
      <c r="K628" s="552">
        <f>F628+H628+I628</f>
        <v>152122.575</v>
      </c>
      <c r="L628" s="553"/>
      <c r="M628" s="492">
        <f>K628+C628+O628</f>
        <v>152122.575</v>
      </c>
      <c r="N628" s="563"/>
      <c r="O628" s="117"/>
      <c r="P628" s="117"/>
      <c r="Q628" s="117"/>
      <c r="R628" s="117"/>
    </row>
    <row r="629" spans="1:18" ht="21.75" customHeight="1" hidden="1">
      <c r="A629" s="93"/>
      <c r="B629" s="78" t="s">
        <v>71</v>
      </c>
      <c r="C629" s="552"/>
      <c r="D629" s="553"/>
      <c r="E629" s="95"/>
      <c r="F629" s="116"/>
      <c r="G629" s="116"/>
      <c r="H629" s="73"/>
      <c r="I629" s="552"/>
      <c r="J629" s="553"/>
      <c r="K629" s="552">
        <f>F629+H629+I629</f>
        <v>0</v>
      </c>
      <c r="L629" s="553"/>
      <c r="M629" s="552"/>
      <c r="N629" s="641"/>
      <c r="O629" s="117"/>
      <c r="P629" s="117"/>
      <c r="Q629" s="117"/>
      <c r="R629" s="117"/>
    </row>
    <row r="630" spans="1:18" ht="16.5" hidden="1" thickBot="1">
      <c r="A630" s="93"/>
      <c r="B630" s="149"/>
      <c r="C630" s="569"/>
      <c r="D630" s="569"/>
      <c r="E630" s="120"/>
      <c r="F630" s="124"/>
      <c r="G630" s="124"/>
      <c r="H630" s="75"/>
      <c r="I630" s="620"/>
      <c r="J630" s="620"/>
      <c r="K630" s="620"/>
      <c r="L630" s="569"/>
      <c r="M630" s="642"/>
      <c r="N630" s="643"/>
      <c r="O630" s="117" t="s">
        <v>225</v>
      </c>
      <c r="P630" s="117"/>
      <c r="Q630" s="117"/>
      <c r="R630" s="117" t="s">
        <v>240</v>
      </c>
    </row>
    <row r="631" spans="1:18" ht="16.5" hidden="1" thickBot="1">
      <c r="A631" s="93"/>
      <c r="B631" s="150" t="s">
        <v>52</v>
      </c>
      <c r="C631" s="622">
        <f>SUM(C624:D629)</f>
        <v>0</v>
      </c>
      <c r="D631" s="623"/>
      <c r="E631" s="91"/>
      <c r="F631" s="151">
        <f>SUM(F624:F630)</f>
        <v>87960.344</v>
      </c>
      <c r="G631" s="151"/>
      <c r="H631" s="151">
        <f>SUM(H624:H630)</f>
        <v>183211.375</v>
      </c>
      <c r="I631" s="622">
        <f>SUM(I624:J630)</f>
        <v>108434</v>
      </c>
      <c r="J631" s="623"/>
      <c r="K631" s="622">
        <f>SUM(K624:L630)+K617+K618</f>
        <v>379605.719</v>
      </c>
      <c r="L631" s="623"/>
      <c r="M631" s="622">
        <f>M624+M625+M626+M627+M628+M629+M618+M617</f>
        <v>379605.719</v>
      </c>
      <c r="N631" s="632"/>
      <c r="O631" s="152">
        <f>O101+O159+O222+O328+O396+O588</f>
        <v>409231.447</v>
      </c>
      <c r="P631" s="152"/>
      <c r="Q631" s="152"/>
      <c r="R631" s="117" t="s">
        <v>239</v>
      </c>
    </row>
    <row r="632" spans="1:20" ht="15.75" hidden="1">
      <c r="A632" s="93"/>
      <c r="B632" s="153" t="s">
        <v>72</v>
      </c>
      <c r="C632" s="621"/>
      <c r="D632" s="621"/>
      <c r="E632" s="104"/>
      <c r="F632" s="108"/>
      <c r="G632" s="108"/>
      <c r="H632" s="82"/>
      <c r="I632" s="621"/>
      <c r="J632" s="621"/>
      <c r="K632" s="639"/>
      <c r="L632" s="621"/>
      <c r="M632" s="639">
        <f>K632+C632</f>
        <v>0</v>
      </c>
      <c r="N632" s="640"/>
      <c r="O632" s="117"/>
      <c r="P632" s="117"/>
      <c r="Q632" s="117"/>
      <c r="R632" s="117"/>
      <c r="S632" s="16">
        <f>O263+O264+O265+O267+O268</f>
        <v>25442.4</v>
      </c>
      <c r="T632" s="16">
        <f>SUM(R632:S632)</f>
        <v>25442.4</v>
      </c>
    </row>
    <row r="633" spans="1:18" ht="16.5" hidden="1" thickBot="1">
      <c r="A633" s="93"/>
      <c r="B633" s="80" t="s">
        <v>41</v>
      </c>
      <c r="C633" s="609">
        <f>'[2]ШКОЛИ та ін.'!$AT$171</f>
        <v>0</v>
      </c>
      <c r="D633" s="610"/>
      <c r="E633" s="154"/>
      <c r="F633" s="155">
        <f>O260+O261</f>
        <v>10624.32</v>
      </c>
      <c r="G633" s="155"/>
      <c r="H633" s="155">
        <f>O262+O263+O268</f>
        <v>8754.4</v>
      </c>
      <c r="I633" s="609">
        <f>O264+O265+O267</f>
        <v>19472</v>
      </c>
      <c r="J633" s="610"/>
      <c r="K633" s="609">
        <f>F633+H633+I633</f>
        <v>38850.72</v>
      </c>
      <c r="L633" s="610"/>
      <c r="M633" s="634">
        <f>K633+C633</f>
        <v>38850.72</v>
      </c>
      <c r="N633" s="635"/>
      <c r="O633" s="117"/>
      <c r="P633" s="117"/>
      <c r="Q633" s="117"/>
      <c r="R633" s="117"/>
    </row>
    <row r="634" spans="1:18" ht="15.75" hidden="1">
      <c r="A634" s="93"/>
      <c r="B634" s="156" t="s">
        <v>52</v>
      </c>
      <c r="C634" s="618">
        <f>C631+C633</f>
        <v>0</v>
      </c>
      <c r="D634" s="619"/>
      <c r="E634" s="157"/>
      <c r="F634" s="152">
        <f>F631+F633</f>
        <v>98584.66399999999</v>
      </c>
      <c r="G634" s="152"/>
      <c r="H634" s="152">
        <f>H631+H633</f>
        <v>191965.775</v>
      </c>
      <c r="I634" s="618">
        <f>I631+I633</f>
        <v>127906</v>
      </c>
      <c r="J634" s="619"/>
      <c r="K634" s="636">
        <f>K631+K633</f>
        <v>418456.439</v>
      </c>
      <c r="L634" s="636"/>
      <c r="M634" s="633">
        <f>M631+M632+M633</f>
        <v>418456.439</v>
      </c>
      <c r="N634" s="633"/>
      <c r="O634" s="117"/>
      <c r="P634" s="117"/>
      <c r="Q634" s="117"/>
      <c r="R634" s="117"/>
    </row>
    <row r="635" spans="1:18" ht="15.75" hidden="1">
      <c r="A635" s="93"/>
      <c r="B635" s="93"/>
      <c r="C635" s="93"/>
      <c r="D635" s="133"/>
      <c r="E635" s="133"/>
      <c r="F635" s="93"/>
      <c r="G635" s="93"/>
      <c r="H635" s="93"/>
      <c r="I635" s="93"/>
      <c r="J635" s="93"/>
      <c r="K635" s="133"/>
      <c r="L635" s="93"/>
      <c r="M635" s="93"/>
      <c r="N635" s="93"/>
      <c r="O635" s="117"/>
      <c r="P635" s="117"/>
      <c r="Q635" s="117"/>
      <c r="R635" s="117"/>
    </row>
    <row r="636" spans="1:18" ht="15.75" hidden="1">
      <c r="A636" s="93"/>
      <c r="B636" s="93"/>
      <c r="C636" s="93"/>
      <c r="D636" s="133"/>
      <c r="E636" s="133"/>
      <c r="F636" s="93"/>
      <c r="G636" s="93"/>
      <c r="H636" s="93"/>
      <c r="I636" s="93"/>
      <c r="J636" s="93"/>
      <c r="K636" s="133"/>
      <c r="L636" s="117"/>
      <c r="M636" s="93"/>
      <c r="N636" s="93"/>
      <c r="O636" s="117"/>
      <c r="P636" s="117"/>
      <c r="Q636" s="117"/>
      <c r="R636" s="117"/>
    </row>
    <row r="637" spans="1:18" ht="15.75" hidden="1">
      <c r="A637" s="93"/>
      <c r="B637" s="93"/>
      <c r="C637" s="93"/>
      <c r="D637" s="133"/>
      <c r="E637" s="133"/>
      <c r="F637" s="93"/>
      <c r="G637" s="93"/>
      <c r="H637" s="93"/>
      <c r="I637" s="93"/>
      <c r="J637" s="93"/>
      <c r="K637" s="93"/>
      <c r="L637" s="93"/>
      <c r="M637" s="133"/>
      <c r="N637" s="93"/>
      <c r="O637" s="117"/>
      <c r="P637" s="117"/>
      <c r="Q637" s="117"/>
      <c r="R637" s="117"/>
    </row>
    <row r="638" spans="1:18" ht="15.75" hidden="1">
      <c r="A638" s="93"/>
      <c r="B638" s="93"/>
      <c r="C638" s="117"/>
      <c r="D638" s="117"/>
      <c r="E638" s="117"/>
      <c r="F638" s="117"/>
      <c r="G638" s="117"/>
      <c r="H638" s="93"/>
      <c r="I638" s="93"/>
      <c r="J638" s="93"/>
      <c r="K638" s="93"/>
      <c r="L638" s="93"/>
      <c r="M638" s="93"/>
      <c r="N638" s="93"/>
      <c r="O638" s="117"/>
      <c r="P638" s="117"/>
      <c r="Q638" s="117"/>
      <c r="R638" s="117"/>
    </row>
    <row r="639" spans="1:18" ht="15.75" hidden="1">
      <c r="A639" s="93"/>
      <c r="B639" s="93"/>
      <c r="C639" s="93"/>
      <c r="D639" s="93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</row>
    <row r="640" spans="1:18" ht="15.75" hidden="1">
      <c r="A640" s="93"/>
      <c r="B640" s="93"/>
      <c r="C640" s="93"/>
      <c r="D640" s="93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</row>
    <row r="641" spans="1:18" ht="12.75" customHeight="1" hidden="1">
      <c r="A641" s="625"/>
      <c r="B641" s="625"/>
      <c r="C641" s="625"/>
      <c r="D641" s="625"/>
      <c r="E641" s="625"/>
      <c r="F641" s="625"/>
      <c r="G641" s="625"/>
      <c r="H641" s="625"/>
      <c r="I641" s="625"/>
      <c r="J641" s="625"/>
      <c r="K641" s="625"/>
      <c r="L641" s="625"/>
      <c r="M641" s="625"/>
      <c r="N641" s="625"/>
      <c r="O641" s="625"/>
      <c r="P641" s="625"/>
      <c r="Q641" s="625"/>
      <c r="R641" s="625"/>
    </row>
    <row r="642" spans="1:18" ht="12.75" customHeight="1" hidden="1">
      <c r="A642" s="93"/>
      <c r="B642" s="93"/>
      <c r="C642" s="93"/>
      <c r="D642" s="93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</row>
    <row r="643" spans="1:18" ht="15.75" hidden="1">
      <c r="A643" s="72"/>
      <c r="B643" s="72"/>
      <c r="C643" s="72"/>
      <c r="D643" s="83">
        <f>C588+C396+C328+C222+C159+C101+C48</f>
        <v>101.5</v>
      </c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</row>
    <row r="644" spans="1:18" ht="15.75" hidden="1">
      <c r="A644" s="72"/>
      <c r="B644" s="72"/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</row>
    <row r="645" spans="1:18" ht="15.75" hidden="1">
      <c r="A645" s="72"/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</row>
    <row r="646" spans="1:18" ht="15.75" hidden="1">
      <c r="A646" s="72"/>
      <c r="B646" s="72"/>
      <c r="C646" s="72"/>
      <c r="D646" s="72"/>
      <c r="E646" s="72"/>
      <c r="F646" s="72"/>
      <c r="G646" s="72"/>
      <c r="H646" s="72"/>
      <c r="I646" s="72"/>
      <c r="J646" s="72"/>
      <c r="K646" s="72" t="s">
        <v>197</v>
      </c>
      <c r="L646" s="72" t="s">
        <v>198</v>
      </c>
      <c r="M646" s="72"/>
      <c r="N646" s="72"/>
      <c r="O646" s="72"/>
      <c r="P646" s="72"/>
      <c r="Q646" s="72"/>
      <c r="R646" s="72"/>
    </row>
    <row r="647" spans="1:18" ht="15.75" hidden="1">
      <c r="A647" s="72"/>
      <c r="B647" s="72"/>
      <c r="C647" s="72"/>
      <c r="D647" s="73">
        <v>1</v>
      </c>
      <c r="E647" s="73">
        <f>C577+C389+C97+C43</f>
        <v>1.5</v>
      </c>
      <c r="F647" s="72"/>
      <c r="G647" s="72"/>
      <c r="H647" s="72"/>
      <c r="I647" s="72"/>
      <c r="J647" s="628">
        <v>70000</v>
      </c>
      <c r="K647" s="73">
        <v>1</v>
      </c>
      <c r="L647" s="74">
        <f>E647+'[1]ДНЗ з 01.09.13'!F732+'[1]школи з 01.09.13'!F739</f>
        <v>47.75</v>
      </c>
      <c r="M647" s="72"/>
      <c r="N647" s="72"/>
      <c r="O647" s="72"/>
      <c r="P647" s="72"/>
      <c r="Q647" s="72"/>
      <c r="R647" s="72"/>
    </row>
    <row r="648" spans="1:18" ht="15.75" hidden="1">
      <c r="A648" s="72"/>
      <c r="B648" s="72"/>
      <c r="C648" s="72"/>
      <c r="D648" s="73">
        <v>2</v>
      </c>
      <c r="E648" s="73">
        <f>C582+C381+C322+C320+C98+C96+C95+C93+C42+C41+C383</f>
        <v>28.5</v>
      </c>
      <c r="F648" s="72"/>
      <c r="G648" s="72"/>
      <c r="H648" s="72"/>
      <c r="I648" s="72"/>
      <c r="J648" s="629"/>
      <c r="K648" s="73">
        <v>2</v>
      </c>
      <c r="L648" s="74">
        <f>E648+'[1]ДНЗ з 01.09.13'!F733+'[1]школи з 01.09.13'!F740</f>
        <v>190.25</v>
      </c>
      <c r="M648" s="72"/>
      <c r="N648" s="72"/>
      <c r="O648" s="72"/>
      <c r="P648" s="72"/>
      <c r="Q648" s="72"/>
      <c r="R648" s="72"/>
    </row>
    <row r="649" spans="1:18" ht="15.75" hidden="1">
      <c r="A649" s="72"/>
      <c r="B649" s="72"/>
      <c r="C649" s="72"/>
      <c r="D649" s="73">
        <v>3</v>
      </c>
      <c r="E649" s="73"/>
      <c r="F649" s="72"/>
      <c r="G649" s="72"/>
      <c r="H649" s="72"/>
      <c r="I649" s="72"/>
      <c r="J649" s="629"/>
      <c r="K649" s="73">
        <v>3</v>
      </c>
      <c r="L649" s="74">
        <f>E649+'[1]ДНЗ з 01.09.13'!F734+'[1]школи з 01.09.13'!F741</f>
        <v>3</v>
      </c>
      <c r="M649" s="72"/>
      <c r="N649" s="72"/>
      <c r="O649" s="72"/>
      <c r="P649" s="72"/>
      <c r="Q649" s="72"/>
      <c r="R649" s="72"/>
    </row>
    <row r="650" spans="1:18" ht="15.75" hidden="1">
      <c r="A650" s="72"/>
      <c r="B650" s="72"/>
      <c r="C650" s="72"/>
      <c r="D650" s="73">
        <v>4</v>
      </c>
      <c r="E650" s="73">
        <f>C580+C154+C380</f>
        <v>6.5</v>
      </c>
      <c r="F650" s="72"/>
      <c r="G650" s="72"/>
      <c r="H650" s="72"/>
      <c r="I650" s="72"/>
      <c r="J650" s="629"/>
      <c r="K650" s="73">
        <v>4</v>
      </c>
      <c r="L650" s="74">
        <f>E650+'[1]ДНЗ з 01.09.13'!F735+'[1]школи з 01.09.13'!F742</f>
        <v>29.25</v>
      </c>
      <c r="M650" s="72"/>
      <c r="N650" s="72"/>
      <c r="O650" s="72"/>
      <c r="P650" s="72"/>
      <c r="Q650" s="72"/>
      <c r="R650" s="72"/>
    </row>
    <row r="651" spans="1:18" ht="15.75" hidden="1">
      <c r="A651" s="72"/>
      <c r="B651" s="72"/>
      <c r="C651" s="72"/>
      <c r="D651" s="73">
        <v>5</v>
      </c>
      <c r="E651" s="73">
        <f>C579+C393+C387+C379+C153+C91</f>
        <v>8.75</v>
      </c>
      <c r="F651" s="72"/>
      <c r="G651" s="72"/>
      <c r="H651" s="72"/>
      <c r="I651" s="72"/>
      <c r="J651" s="629"/>
      <c r="K651" s="73">
        <v>5</v>
      </c>
      <c r="L651" s="74">
        <f>E651+'[1]ДНЗ з 01.09.13'!F736+'[1]школи з 01.09.13'!F743</f>
        <v>46.25</v>
      </c>
      <c r="M651" s="72"/>
      <c r="N651" s="72"/>
      <c r="O651" s="72"/>
      <c r="P651" s="72"/>
      <c r="Q651" s="72"/>
      <c r="R651" s="72"/>
    </row>
    <row r="652" spans="1:18" ht="15.75" hidden="1">
      <c r="A652" s="72"/>
      <c r="B652" s="72"/>
      <c r="C652" s="72"/>
      <c r="D652" s="73">
        <v>6</v>
      </c>
      <c r="E652" s="73">
        <f>C581+C392+C388+C321+C92+C94+C40</f>
        <v>6</v>
      </c>
      <c r="F652" s="72"/>
      <c r="G652" s="72"/>
      <c r="H652" s="72"/>
      <c r="I652" s="72"/>
      <c r="J652" s="629"/>
      <c r="K652" s="73">
        <v>6</v>
      </c>
      <c r="L652" s="74">
        <f>E652+'[1]ДНЗ з 01.09.13'!F737+'[1]школи з 01.09.13'!F744</f>
        <v>144.5</v>
      </c>
      <c r="M652" s="72"/>
      <c r="N652" s="72"/>
      <c r="O652" s="72"/>
      <c r="P652" s="72"/>
      <c r="Q652" s="72"/>
      <c r="R652" s="72"/>
    </row>
    <row r="653" spans="1:18" ht="16.5" hidden="1" thickBot="1">
      <c r="A653" s="72"/>
      <c r="B653" s="72"/>
      <c r="C653" s="72"/>
      <c r="D653" s="75">
        <v>7</v>
      </c>
      <c r="E653" s="75">
        <f>C578+C390+C317+C377+C375+C373</f>
        <v>5.75</v>
      </c>
      <c r="F653" s="72"/>
      <c r="G653" s="72"/>
      <c r="H653" s="72"/>
      <c r="I653" s="72"/>
      <c r="J653" s="629"/>
      <c r="K653" s="75">
        <v>7</v>
      </c>
      <c r="L653" s="74">
        <f>E653+'[1]ДНЗ з 01.09.13'!F738+'[1]школи з 01.09.13'!F745</f>
        <v>27</v>
      </c>
      <c r="M653" s="72"/>
      <c r="N653" s="72"/>
      <c r="O653" s="72"/>
      <c r="P653" s="72"/>
      <c r="Q653" s="72"/>
      <c r="R653" s="72"/>
    </row>
    <row r="654" spans="1:18" ht="15.75" hidden="1">
      <c r="A654" s="72"/>
      <c r="B654" s="72"/>
      <c r="C654" s="72"/>
      <c r="D654" s="76">
        <v>8</v>
      </c>
      <c r="E654" s="158">
        <f>C576+C575+C386+C382+C372+C316+C88+C28</f>
        <v>7</v>
      </c>
      <c r="F654" s="77"/>
      <c r="G654" s="72"/>
      <c r="H654" s="72"/>
      <c r="I654" s="72"/>
      <c r="J654" s="630"/>
      <c r="K654" s="76">
        <v>8</v>
      </c>
      <c r="L654" s="74">
        <f>E654+'[1]ДНЗ з 01.09.13'!F739+'[1]школи з 01.09.13'!F746</f>
        <v>49</v>
      </c>
      <c r="M654" s="77"/>
      <c r="N654" s="72"/>
      <c r="O654" s="72"/>
      <c r="P654" s="72"/>
      <c r="Q654" s="72"/>
      <c r="R654" s="72"/>
    </row>
    <row r="655" spans="1:18" ht="15.75" hidden="1">
      <c r="A655" s="72"/>
      <c r="B655" s="72"/>
      <c r="C655" s="72"/>
      <c r="D655" s="78">
        <v>9</v>
      </c>
      <c r="E655" s="73">
        <f>C574+C376+C315</f>
        <v>8</v>
      </c>
      <c r="F655" s="79">
        <v>20.28</v>
      </c>
      <c r="G655" s="72"/>
      <c r="H655" s="72"/>
      <c r="I655" s="72"/>
      <c r="J655" s="630"/>
      <c r="K655" s="78">
        <v>9</v>
      </c>
      <c r="L655" s="74">
        <f>E655+'[1]ДНЗ з 01.09.13'!F740+'[1]школи з 01.09.13'!F747</f>
        <v>43.5</v>
      </c>
      <c r="M655" s="79"/>
      <c r="N655" s="72"/>
      <c r="O655" s="72"/>
      <c r="P655" s="72"/>
      <c r="Q655" s="72"/>
      <c r="R655" s="72"/>
    </row>
    <row r="656" spans="1:18" ht="16.5" hidden="1" thickBot="1">
      <c r="A656" s="72"/>
      <c r="B656" s="72"/>
      <c r="C656" s="72"/>
      <c r="D656" s="80">
        <v>10</v>
      </c>
      <c r="E656" s="159">
        <f>C572+C374+C371+C313+C319+C219+C87+C85</f>
        <v>9</v>
      </c>
      <c r="F656" s="81"/>
      <c r="G656" s="72"/>
      <c r="H656" s="72"/>
      <c r="I656" s="72"/>
      <c r="J656" s="630"/>
      <c r="K656" s="78">
        <v>10</v>
      </c>
      <c r="L656" s="74">
        <f>E656+'[1]ДНЗ з 01.09.13'!F741+'[1]школи з 01.09.13'!F748</f>
        <v>25</v>
      </c>
      <c r="M656" s="79">
        <v>485.09</v>
      </c>
      <c r="N656" s="72"/>
      <c r="O656" s="160"/>
      <c r="P656" s="160"/>
      <c r="Q656" s="160"/>
      <c r="R656" s="72"/>
    </row>
    <row r="657" spans="1:18" ht="15.75" hidden="1">
      <c r="A657" s="72"/>
      <c r="B657" s="72"/>
      <c r="C657" s="72"/>
      <c r="D657" s="82">
        <v>11</v>
      </c>
      <c r="E657" s="82">
        <f>C152+C86</f>
        <v>1</v>
      </c>
      <c r="F657" s="72"/>
      <c r="G657" s="72"/>
      <c r="H657" s="72"/>
      <c r="I657" s="72"/>
      <c r="J657" s="630"/>
      <c r="K657" s="78">
        <v>11</v>
      </c>
      <c r="L657" s="74">
        <f>E657+'[1]ДНЗ з 01.09.13'!F742+'[1]школи з 01.09.13'!F749</f>
        <v>14.5</v>
      </c>
      <c r="M657" s="79"/>
      <c r="N657" s="72"/>
      <c r="O657" s="72"/>
      <c r="P657" s="72"/>
      <c r="Q657" s="72"/>
      <c r="R657" s="72"/>
    </row>
    <row r="658" spans="1:18" ht="16.5" hidden="1" thickBot="1">
      <c r="A658" s="72"/>
      <c r="B658" s="72"/>
      <c r="C658" s="72"/>
      <c r="D658" s="73">
        <v>12</v>
      </c>
      <c r="E658" s="73">
        <f>C143+C156+C261</f>
        <v>7</v>
      </c>
      <c r="F658" s="72"/>
      <c r="G658" s="72"/>
      <c r="H658" s="72"/>
      <c r="I658" s="72"/>
      <c r="J658" s="630"/>
      <c r="K658" s="80">
        <v>12</v>
      </c>
      <c r="L658" s="74">
        <f>E658+'[1]ДНЗ з 01.09.13'!F743+'[1]школи з 01.09.13'!F750</f>
        <v>16.5</v>
      </c>
      <c r="M658" s="81"/>
      <c r="N658" s="72"/>
      <c r="O658" s="72"/>
      <c r="P658" s="72"/>
      <c r="Q658" s="72"/>
      <c r="R658" s="72"/>
    </row>
    <row r="659" spans="1:18" ht="15.75" hidden="1">
      <c r="A659" s="72"/>
      <c r="B659" s="72"/>
      <c r="C659" s="72"/>
      <c r="D659" s="73">
        <v>13</v>
      </c>
      <c r="E659" s="73">
        <f>C142</f>
        <v>1</v>
      </c>
      <c r="F659" s="72"/>
      <c r="G659" s="72"/>
      <c r="H659" s="72"/>
      <c r="I659" s="72"/>
      <c r="J659" s="629"/>
      <c r="K659" s="82">
        <v>13</v>
      </c>
      <c r="L659" s="74">
        <f>E659+'[1]ДНЗ з 01.09.13'!F744+'[1]школи з 01.09.13'!F751</f>
        <v>5.5</v>
      </c>
      <c r="M659" s="72"/>
      <c r="N659" s="72"/>
      <c r="O659" s="72"/>
      <c r="P659" s="72"/>
      <c r="Q659" s="72"/>
      <c r="R659" s="72"/>
    </row>
    <row r="660" spans="1:18" ht="15.75" hidden="1">
      <c r="A660" s="72"/>
      <c r="B660" s="72"/>
      <c r="C660" s="72"/>
      <c r="D660" s="73">
        <v>14</v>
      </c>
      <c r="E660" s="73">
        <f>C83</f>
        <v>1</v>
      </c>
      <c r="F660" s="72"/>
      <c r="G660" s="72"/>
      <c r="H660" s="72"/>
      <c r="I660" s="72"/>
      <c r="J660" s="629"/>
      <c r="K660" s="73">
        <v>14</v>
      </c>
      <c r="L660" s="74" t="e">
        <f>E660+'[1]ДНЗ з 01.09.13'!F745+'[1]школи з 01.09.13'!F752</f>
        <v>#VALUE!</v>
      </c>
      <c r="M660" s="72"/>
      <c r="N660" s="72"/>
      <c r="O660" s="72"/>
      <c r="P660" s="72"/>
      <c r="Q660" s="72"/>
      <c r="R660" s="72"/>
    </row>
    <row r="661" spans="1:18" ht="15.75" hidden="1">
      <c r="A661" s="72"/>
      <c r="B661" s="72"/>
      <c r="C661" s="72"/>
      <c r="D661" s="73">
        <v>15</v>
      </c>
      <c r="E661" s="73">
        <f>C312</f>
        <v>1</v>
      </c>
      <c r="F661" s="72"/>
      <c r="G661" s="72"/>
      <c r="H661" s="72"/>
      <c r="I661" s="72"/>
      <c r="J661" s="629"/>
      <c r="K661" s="73">
        <v>15</v>
      </c>
      <c r="L661" s="74">
        <f>E661+'[1]ДНЗ з 01.09.13'!F746+'[1]школи з 01.09.13'!F753</f>
        <v>7</v>
      </c>
      <c r="M661" s="72"/>
      <c r="N661" s="72"/>
      <c r="O661" s="72"/>
      <c r="P661" s="72"/>
      <c r="Q661" s="72"/>
      <c r="R661" s="72"/>
    </row>
    <row r="662" spans="1:18" ht="15.75" hidden="1">
      <c r="A662" s="72"/>
      <c r="B662" s="72"/>
      <c r="C662" s="72"/>
      <c r="D662" s="75">
        <v>16</v>
      </c>
      <c r="E662" s="75">
        <v>1</v>
      </c>
      <c r="F662" s="72"/>
      <c r="G662" s="72"/>
      <c r="H662" s="72"/>
      <c r="I662" s="72"/>
      <c r="J662" s="631"/>
      <c r="K662" s="75">
        <v>16</v>
      </c>
      <c r="L662" s="74">
        <f>E662+'[1]ДНЗ з 01.09.13'!F747+'[1]школи з 01.09.13'!F754</f>
        <v>1</v>
      </c>
      <c r="M662" s="72"/>
      <c r="N662" s="72"/>
      <c r="O662" s="72"/>
      <c r="P662" s="72"/>
      <c r="Q662" s="72"/>
      <c r="R662" s="72"/>
    </row>
    <row r="663" spans="1:18" ht="15.75" hidden="1">
      <c r="A663" s="72"/>
      <c r="B663" s="72"/>
      <c r="C663" s="73" t="s">
        <v>64</v>
      </c>
      <c r="D663" s="73"/>
      <c r="E663" s="73">
        <f>SUM(E647:E662)</f>
        <v>93</v>
      </c>
      <c r="F663" s="72"/>
      <c r="G663" s="72"/>
      <c r="H663" s="72"/>
      <c r="I663" s="72"/>
      <c r="J663" s="73" t="s">
        <v>64</v>
      </c>
      <c r="K663" s="73"/>
      <c r="L663" s="74" t="e">
        <f>SUM(L647:L662)</f>
        <v>#VALUE!</v>
      </c>
      <c r="M663" s="83" t="e">
        <f>L663+M656</f>
        <v>#VALUE!</v>
      </c>
      <c r="N663" s="72"/>
      <c r="O663" s="72"/>
      <c r="P663" s="72"/>
      <c r="Q663" s="72"/>
      <c r="R663" s="72"/>
    </row>
    <row r="664" spans="1:18" ht="15.75">
      <c r="A664" s="72"/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</row>
    <row r="665" spans="1:18" ht="15.75">
      <c r="A665" s="72"/>
      <c r="B665" s="72"/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</row>
    <row r="666" spans="1:18" ht="15.75">
      <c r="A666" s="72"/>
      <c r="B666" s="72"/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</row>
    <row r="667" spans="1:18" ht="15.75">
      <c r="A667" s="72"/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</row>
    <row r="668" spans="1:18" ht="15.75">
      <c r="A668" s="72"/>
      <c r="B668" s="72"/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</row>
    <row r="669" spans="1:18" ht="15.75">
      <c r="A669" s="72"/>
      <c r="B669" s="72"/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</row>
    <row r="670" spans="1:18" ht="15.75" hidden="1">
      <c r="A670" s="72"/>
      <c r="B670" s="72"/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</row>
    <row r="671" spans="1:18" ht="15.75" hidden="1">
      <c r="A671" s="72"/>
      <c r="B671" s="72"/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</row>
    <row r="672" spans="1:18" ht="15.75" hidden="1">
      <c r="A672" s="72"/>
      <c r="B672" s="83">
        <f>O101+O159+O222+O275+O328+O396+O588</f>
        <v>448082.167</v>
      </c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</row>
    <row r="673" spans="1:18" ht="15.75" hidden="1">
      <c r="A673" s="72"/>
      <c r="B673" s="73" t="s">
        <v>258</v>
      </c>
      <c r="C673" s="73"/>
      <c r="D673" s="73" t="s">
        <v>108</v>
      </c>
      <c r="E673" s="73" t="s">
        <v>263</v>
      </c>
      <c r="F673" s="73" t="s">
        <v>62</v>
      </c>
      <c r="G673" s="73" t="s">
        <v>82</v>
      </c>
      <c r="H673" s="73" t="s">
        <v>264</v>
      </c>
      <c r="I673" s="72"/>
      <c r="J673" s="72"/>
      <c r="K673" s="72" t="s">
        <v>265</v>
      </c>
      <c r="L673" s="72"/>
      <c r="M673" s="72"/>
      <c r="N673" s="72"/>
      <c r="O673" s="72"/>
      <c r="P673" s="72"/>
      <c r="Q673" s="72"/>
      <c r="R673" s="72"/>
    </row>
    <row r="674" spans="1:18" ht="15.75" hidden="1">
      <c r="A674" s="72"/>
      <c r="B674" s="73"/>
      <c r="C674" s="73"/>
      <c r="D674" s="73"/>
      <c r="E674" s="73"/>
      <c r="F674" s="73"/>
      <c r="G674" s="73"/>
      <c r="H674" s="73"/>
      <c r="I674" s="72"/>
      <c r="J674" s="72"/>
      <c r="K674" s="72"/>
      <c r="L674" s="72"/>
      <c r="M674" s="72"/>
      <c r="N674" s="72"/>
      <c r="O674" s="72"/>
      <c r="P674" s="72"/>
      <c r="Q674" s="72"/>
      <c r="R674" s="72"/>
    </row>
    <row r="675" spans="1:18" ht="15.75" hidden="1">
      <c r="A675" s="72"/>
      <c r="B675" s="73" t="s">
        <v>259</v>
      </c>
      <c r="C675" s="73"/>
      <c r="D675" s="73">
        <v>34508.22</v>
      </c>
      <c r="E675" s="74">
        <f>O83+O84+O85+O86+O87</f>
        <v>28036.280000000002</v>
      </c>
      <c r="F675" s="74">
        <f>O88+O89+O91</f>
        <v>4882.4</v>
      </c>
      <c r="G675" s="74">
        <f>O90+O92+O93+O94+O95+O96+O97+O98+O99</f>
        <v>40638.399999999994</v>
      </c>
      <c r="H675" s="74">
        <f aca="true" t="shared" si="42" ref="H675:H680">E675+F675+G675</f>
        <v>73557.07999999999</v>
      </c>
      <c r="I675" s="72"/>
      <c r="J675" s="72"/>
      <c r="K675" s="16">
        <f>H675+D675</f>
        <v>108065.29999999999</v>
      </c>
      <c r="L675" s="72"/>
      <c r="M675" s="72"/>
      <c r="N675" s="72"/>
      <c r="O675" s="72"/>
      <c r="P675" s="72"/>
      <c r="Q675" s="72"/>
      <c r="R675" s="72"/>
    </row>
    <row r="676" spans="1:18" ht="15.75" hidden="1">
      <c r="A676" s="72"/>
      <c r="B676" s="73" t="s">
        <v>260</v>
      </c>
      <c r="C676" s="73"/>
      <c r="D676" s="73"/>
      <c r="E676" s="74">
        <f>O142+O143+O151+O152+O155+O156+O219</f>
        <v>73757.79200000002</v>
      </c>
      <c r="F676" s="74">
        <f>O153+O157</f>
        <v>6931.2</v>
      </c>
      <c r="G676" s="74">
        <f>O154</f>
        <v>0</v>
      </c>
      <c r="H676" s="74">
        <f t="shared" si="42"/>
        <v>80688.99200000001</v>
      </c>
      <c r="I676" s="72"/>
      <c r="J676" s="72"/>
      <c r="K676" s="72"/>
      <c r="L676" s="72"/>
      <c r="M676" s="72"/>
      <c r="N676" s="72"/>
      <c r="O676" s="72"/>
      <c r="P676" s="72"/>
      <c r="Q676" s="72"/>
      <c r="R676" s="72"/>
    </row>
    <row r="677" spans="1:18" ht="15.75" hidden="1">
      <c r="A677" s="72"/>
      <c r="B677" s="73" t="s">
        <v>69</v>
      </c>
      <c r="C677" s="73"/>
      <c r="D677" s="73"/>
      <c r="E677" s="74"/>
      <c r="F677" s="74">
        <f>O311+O312+O313+O314+O315+O316+O317+O318</f>
        <v>84584.4</v>
      </c>
      <c r="G677" s="74">
        <f>O320+O321+O322</f>
        <v>9038.4</v>
      </c>
      <c r="H677" s="74">
        <f t="shared" si="42"/>
        <v>93622.79999999999</v>
      </c>
      <c r="I677" s="72"/>
      <c r="J677" s="72"/>
      <c r="K677" s="72"/>
      <c r="L677" s="72"/>
      <c r="M677" s="72"/>
      <c r="N677" s="72"/>
      <c r="O677" s="72"/>
      <c r="P677" s="72"/>
      <c r="Q677" s="72"/>
      <c r="R677" s="72"/>
    </row>
    <row r="678" spans="1:18" ht="15.75" hidden="1">
      <c r="A678" s="72"/>
      <c r="B678" s="73" t="s">
        <v>261</v>
      </c>
      <c r="C678" s="73"/>
      <c r="D678" s="73"/>
      <c r="E678" s="73"/>
      <c r="F678" s="74">
        <f>O371+O372+O373+O374+O375+O376+O377+O378+O379+O382+O393+O390</f>
        <v>59128.375</v>
      </c>
      <c r="G678" s="74">
        <f>O380+O381+O383+O386+O387+O388+O389+O392</f>
        <v>54197.6</v>
      </c>
      <c r="H678" s="74">
        <f t="shared" si="42"/>
        <v>113325.975</v>
      </c>
      <c r="I678" s="72"/>
      <c r="J678" s="72"/>
      <c r="K678" s="72"/>
      <c r="L678" s="72"/>
      <c r="M678" s="72"/>
      <c r="N678" s="72"/>
      <c r="O678" s="72"/>
      <c r="P678" s="72"/>
      <c r="Q678" s="72"/>
      <c r="R678" s="72"/>
    </row>
    <row r="679" spans="1:18" ht="15.75" hidden="1">
      <c r="A679" s="72"/>
      <c r="B679" s="73" t="s">
        <v>262</v>
      </c>
      <c r="C679" s="73"/>
      <c r="D679" s="73"/>
      <c r="E679" s="73"/>
      <c r="F679" s="74">
        <f>O572+O574+O575+O576+O578+O580</f>
        <v>43477</v>
      </c>
      <c r="G679" s="74">
        <f>O577+O579+O581+O583</f>
        <v>4559.6</v>
      </c>
      <c r="H679" s="74">
        <f t="shared" si="42"/>
        <v>48036.6</v>
      </c>
      <c r="I679" s="72"/>
      <c r="J679" s="72"/>
      <c r="K679" s="72"/>
      <c r="L679" s="72"/>
      <c r="M679" s="72"/>
      <c r="N679" s="72"/>
      <c r="O679" s="72"/>
      <c r="P679" s="72"/>
      <c r="Q679" s="72"/>
      <c r="R679" s="72"/>
    </row>
    <row r="680" spans="1:18" ht="15.75" hidden="1">
      <c r="A680" s="72"/>
      <c r="B680" s="73" t="s">
        <v>41</v>
      </c>
      <c r="C680" s="73"/>
      <c r="D680" s="73"/>
      <c r="E680" s="74">
        <f>O260+O261</f>
        <v>10624.32</v>
      </c>
      <c r="F680" s="74">
        <f>O262+O263+O268</f>
        <v>8754.4</v>
      </c>
      <c r="G680" s="74">
        <f>O264+O265+O267</f>
        <v>19472</v>
      </c>
      <c r="H680" s="74">
        <f t="shared" si="42"/>
        <v>38850.72</v>
      </c>
      <c r="I680" s="72"/>
      <c r="J680" s="72"/>
      <c r="K680" s="72"/>
      <c r="L680" s="72"/>
      <c r="M680" s="72"/>
      <c r="N680" s="72"/>
      <c r="O680" s="72"/>
      <c r="P680" s="72"/>
      <c r="Q680" s="72"/>
      <c r="R680" s="72"/>
    </row>
    <row r="681" spans="1:18" ht="15.75" hidden="1">
      <c r="A681" s="72"/>
      <c r="B681" s="73" t="s">
        <v>64</v>
      </c>
      <c r="C681" s="73"/>
      <c r="D681" s="73"/>
      <c r="E681" s="74">
        <f>SUM(E675:E680)</f>
        <v>112418.39200000002</v>
      </c>
      <c r="F681" s="74">
        <f>SUM(F675:F680)</f>
        <v>207757.775</v>
      </c>
      <c r="G681" s="74">
        <f>SUM(G675:G680)</f>
        <v>127906</v>
      </c>
      <c r="H681" s="74">
        <f>SUM(H675:H680)</f>
        <v>448082.1669999999</v>
      </c>
      <c r="I681" s="72"/>
      <c r="J681" s="72"/>
      <c r="K681" s="72"/>
      <c r="L681" s="72"/>
      <c r="M681" s="72"/>
      <c r="N681" s="72"/>
      <c r="O681" s="72"/>
      <c r="P681" s="72"/>
      <c r="Q681" s="72"/>
      <c r="R681" s="72"/>
    </row>
    <row r="682" spans="1:18" ht="15.75" hidden="1">
      <c r="A682" s="72"/>
      <c r="B682" s="72"/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</row>
    <row r="683" spans="1:18" ht="15.75" hidden="1">
      <c r="A683" s="72"/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</row>
    <row r="684" spans="1:18" ht="15.75" hidden="1">
      <c r="A684" s="72"/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</row>
    <row r="685" spans="1:18" ht="15.75" hidden="1">
      <c r="A685" s="72"/>
      <c r="B685" s="72"/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</row>
    <row r="686" spans="1:18" ht="15.75" hidden="1">
      <c r="A686" s="72"/>
      <c r="B686" s="72"/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</row>
    <row r="687" spans="1:18" ht="15.75" hidden="1">
      <c r="A687" s="72"/>
      <c r="B687" s="72"/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</row>
    <row r="688" spans="1:18" ht="15.75">
      <c r="A688" s="72"/>
      <c r="B688" s="72"/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</row>
    <row r="689" spans="1:18" ht="15.75">
      <c r="A689" s="72"/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</row>
    <row r="690" spans="1:18" ht="15.75">
      <c r="A690" s="72"/>
      <c r="B690" s="72"/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</row>
    <row r="691" spans="1:18" ht="15.75">
      <c r="A691" s="72"/>
      <c r="B691" s="72"/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</row>
    <row r="692" spans="1:18" ht="15.75">
      <c r="A692" s="72"/>
      <c r="B692" s="72"/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</row>
    <row r="693" spans="1:18" ht="15.75">
      <c r="A693" s="72"/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</row>
    <row r="694" spans="1:18" ht="15.75">
      <c r="A694" s="72"/>
      <c r="B694" s="72"/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</row>
    <row r="695" spans="1:18" ht="15.75">
      <c r="A695" s="72"/>
      <c r="B695" s="72"/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</row>
    <row r="696" spans="1:18" ht="15.75">
      <c r="A696" s="72"/>
      <c r="B696" s="72"/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</row>
    <row r="697" spans="1:18" ht="15.75">
      <c r="A697" s="72"/>
      <c r="B697" s="72"/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</row>
  </sheetData>
  <sheetProtection/>
  <mergeCells count="363">
    <mergeCell ref="L306:N306"/>
    <mergeCell ref="N383:N384"/>
    <mergeCell ref="A541:A543"/>
    <mergeCell ref="J494:J497"/>
    <mergeCell ref="F542:F545"/>
    <mergeCell ref="D541:D545"/>
    <mergeCell ref="H541:N541"/>
    <mergeCell ref="M542:M545"/>
    <mergeCell ref="A511:R511"/>
    <mergeCell ref="L542:L545"/>
    <mergeCell ref="A78:A80"/>
    <mergeCell ref="B210:H210"/>
    <mergeCell ref="H147:I147"/>
    <mergeCell ref="K383:K384"/>
    <mergeCell ref="B360:H360"/>
    <mergeCell ref="B300:H300"/>
    <mergeCell ref="B301:H301"/>
    <mergeCell ref="B302:H302"/>
    <mergeCell ref="F383:F384"/>
    <mergeCell ref="J297:O297"/>
    <mergeCell ref="A493:A495"/>
    <mergeCell ref="C630:D630"/>
    <mergeCell ref="B560:H560"/>
    <mergeCell ref="B563:H563"/>
    <mergeCell ref="F435:F438"/>
    <mergeCell ref="D434:E438"/>
    <mergeCell ref="B562:H562"/>
    <mergeCell ref="C627:D627"/>
    <mergeCell ref="H582:H583"/>
    <mergeCell ref="C623:D623"/>
    <mergeCell ref="B429:F429"/>
    <mergeCell ref="K435:K438"/>
    <mergeCell ref="A463:O463"/>
    <mergeCell ref="H435:H438"/>
    <mergeCell ref="M435:M438"/>
    <mergeCell ref="C383:C384"/>
    <mergeCell ref="B383:B384"/>
    <mergeCell ref="J427:O427"/>
    <mergeCell ref="I385:I386"/>
    <mergeCell ref="I383:I384"/>
    <mergeCell ref="I629:J629"/>
    <mergeCell ref="I630:J630"/>
    <mergeCell ref="M568:M571"/>
    <mergeCell ref="K542:K545"/>
    <mergeCell ref="K494:K497"/>
    <mergeCell ref="K556:R556"/>
    <mergeCell ref="N494:N497"/>
    <mergeCell ref="I494:I497"/>
    <mergeCell ref="N619:N622"/>
    <mergeCell ref="Q567:Q571"/>
    <mergeCell ref="M632:N632"/>
    <mergeCell ref="K632:L632"/>
    <mergeCell ref="K629:L629"/>
    <mergeCell ref="M629:N629"/>
    <mergeCell ref="M630:N630"/>
    <mergeCell ref="M617:N617"/>
    <mergeCell ref="M619:M622"/>
    <mergeCell ref="M624:N624"/>
    <mergeCell ref="M627:N627"/>
    <mergeCell ref="K617:L617"/>
    <mergeCell ref="D567:D571"/>
    <mergeCell ref="E567:E571"/>
    <mergeCell ref="H568:H571"/>
    <mergeCell ref="C617:D617"/>
    <mergeCell ref="M383:M384"/>
    <mergeCell ref="I617:J617"/>
    <mergeCell ref="I582:I583"/>
    <mergeCell ref="J383:J384"/>
    <mergeCell ref="J559:O559"/>
    <mergeCell ref="H383:H384"/>
    <mergeCell ref="J647:J662"/>
    <mergeCell ref="C631:D631"/>
    <mergeCell ref="C628:D628"/>
    <mergeCell ref="A641:R641"/>
    <mergeCell ref="C634:D634"/>
    <mergeCell ref="M631:N631"/>
    <mergeCell ref="M634:N634"/>
    <mergeCell ref="M633:N633"/>
    <mergeCell ref="K634:L634"/>
    <mergeCell ref="K631:L631"/>
    <mergeCell ref="C618:D618"/>
    <mergeCell ref="C626:D626"/>
    <mergeCell ref="K623:L623"/>
    <mergeCell ref="C619:L622"/>
    <mergeCell ref="C624:D624"/>
    <mergeCell ref="I623:J623"/>
    <mergeCell ref="C625:D625"/>
    <mergeCell ref="I625:J625"/>
    <mergeCell ref="K624:L624"/>
    <mergeCell ref="K626:L626"/>
    <mergeCell ref="I634:J634"/>
    <mergeCell ref="I633:J633"/>
    <mergeCell ref="K630:L630"/>
    <mergeCell ref="I628:J628"/>
    <mergeCell ref="C632:D632"/>
    <mergeCell ref="C629:D629"/>
    <mergeCell ref="K633:L633"/>
    <mergeCell ref="I632:J632"/>
    <mergeCell ref="K628:L628"/>
    <mergeCell ref="I631:J631"/>
    <mergeCell ref="F582:F583"/>
    <mergeCell ref="C633:D633"/>
    <mergeCell ref="M618:N618"/>
    <mergeCell ref="M628:N628"/>
    <mergeCell ref="A589:R589"/>
    <mergeCell ref="C582:C583"/>
    <mergeCell ref="A582:A583"/>
    <mergeCell ref="I624:J624"/>
    <mergeCell ref="I618:J618"/>
    <mergeCell ref="I626:J626"/>
    <mergeCell ref="A567:A569"/>
    <mergeCell ref="M582:M583"/>
    <mergeCell ref="K618:L618"/>
    <mergeCell ref="N582:N583"/>
    <mergeCell ref="L582:L583"/>
    <mergeCell ref="J582:J583"/>
    <mergeCell ref="K582:K583"/>
    <mergeCell ref="F568:F571"/>
    <mergeCell ref="I567:N567"/>
    <mergeCell ref="J568:J571"/>
    <mergeCell ref="F367:F370"/>
    <mergeCell ref="R18:R19"/>
    <mergeCell ref="R26:R27"/>
    <mergeCell ref="N26:N27"/>
    <mergeCell ref="O26:O27"/>
    <mergeCell ref="N18:N19"/>
    <mergeCell ref="O18:O19"/>
    <mergeCell ref="H367:H370"/>
    <mergeCell ref="N307:N310"/>
    <mergeCell ref="H215:H218"/>
    <mergeCell ref="D18:D19"/>
    <mergeCell ref="A26:A27"/>
    <mergeCell ref="A18:A19"/>
    <mergeCell ref="F12:H12"/>
    <mergeCell ref="A58:O58"/>
    <mergeCell ref="A61:O61"/>
    <mergeCell ref="B18:B19"/>
    <mergeCell ref="J18:J19"/>
    <mergeCell ref="H18:H19"/>
    <mergeCell ref="N13:N16"/>
    <mergeCell ref="U137:U139"/>
    <mergeCell ref="J72:O72"/>
    <mergeCell ref="J73:O73"/>
    <mergeCell ref="H78:N78"/>
    <mergeCell ref="K128:O128"/>
    <mergeCell ref="I79:I82"/>
    <mergeCell ref="B73:H73"/>
    <mergeCell ref="D78:D82"/>
    <mergeCell ref="L79:L82"/>
    <mergeCell ref="J79:J82"/>
    <mergeCell ref="AD138:AD141"/>
    <mergeCell ref="AB138:AB141"/>
    <mergeCell ref="AA138:AA141"/>
    <mergeCell ref="Z138:Z141"/>
    <mergeCell ref="X137:X141"/>
    <mergeCell ref="Z137:AF137"/>
    <mergeCell ref="AE138:AE141"/>
    <mergeCell ref="Y138:Y141"/>
    <mergeCell ref="AC138:AC141"/>
    <mergeCell ref="AF138:AF141"/>
    <mergeCell ref="J435:J438"/>
    <mergeCell ref="N435:N438"/>
    <mergeCell ref="U151:V151"/>
    <mergeCell ref="A255:A257"/>
    <mergeCell ref="F256:F259"/>
    <mergeCell ref="H255:N255"/>
    <mergeCell ref="G435:G438"/>
    <mergeCell ref="F434:G434"/>
    <mergeCell ref="L307:L310"/>
    <mergeCell ref="K180:K183"/>
    <mergeCell ref="U160:AH160"/>
    <mergeCell ref="A194:O194"/>
    <mergeCell ref="J180:J183"/>
    <mergeCell ref="A366:A368"/>
    <mergeCell ref="A383:A384"/>
    <mergeCell ref="R383:R384"/>
    <mergeCell ref="O383:O384"/>
    <mergeCell ref="J173:O173"/>
    <mergeCell ref="A197:O197"/>
    <mergeCell ref="M307:M310"/>
    <mergeCell ref="A434:A436"/>
    <mergeCell ref="B386:B388"/>
    <mergeCell ref="H542:H545"/>
    <mergeCell ref="I542:I545"/>
    <mergeCell ref="I435:I438"/>
    <mergeCell ref="A460:O460"/>
    <mergeCell ref="D493:D497"/>
    <mergeCell ref="F494:F497"/>
    <mergeCell ref="H434:N434"/>
    <mergeCell ref="L435:L438"/>
    <mergeCell ref="F1:L1"/>
    <mergeCell ref="N367:N370"/>
    <mergeCell ref="I307:I310"/>
    <mergeCell ref="K304:R304"/>
    <mergeCell ref="J138:J141"/>
    <mergeCell ref="J425:O425"/>
    <mergeCell ref="M385:M386"/>
    <mergeCell ref="A404:R404"/>
    <mergeCell ref="A12:A14"/>
    <mergeCell ref="D12:E16"/>
    <mergeCell ref="K625:L625"/>
    <mergeCell ref="M625:N625"/>
    <mergeCell ref="M626:N626"/>
    <mergeCell ref="B362:I362"/>
    <mergeCell ref="L494:L497"/>
    <mergeCell ref="H494:H497"/>
    <mergeCell ref="B453:R453"/>
    <mergeCell ref="M494:M497"/>
    <mergeCell ref="H493:N493"/>
    <mergeCell ref="L383:L384"/>
    <mergeCell ref="J246:O246"/>
    <mergeCell ref="L256:L259"/>
    <mergeCell ref="J209:O209"/>
    <mergeCell ref="C18:C19"/>
    <mergeCell ref="E78:E82"/>
    <mergeCell ref="F78:G78"/>
    <mergeCell ref="G79:G82"/>
    <mergeCell ref="H79:H82"/>
    <mergeCell ref="B72:H72"/>
    <mergeCell ref="I26:I27"/>
    <mergeCell ref="I627:J627"/>
    <mergeCell ref="K627:L627"/>
    <mergeCell ref="J3:O3"/>
    <mergeCell ref="J5:O5"/>
    <mergeCell ref="J65:O69"/>
    <mergeCell ref="J6:O6"/>
    <mergeCell ref="M18:M19"/>
    <mergeCell ref="L18:L19"/>
    <mergeCell ref="M79:M82"/>
    <mergeCell ref="N79:N82"/>
    <mergeCell ref="L13:L16"/>
    <mergeCell ref="M26:M27"/>
    <mergeCell ref="L26:L27"/>
    <mergeCell ref="K18:K19"/>
    <mergeCell ref="K26:K27"/>
    <mergeCell ref="J26:J27"/>
    <mergeCell ref="M13:M16"/>
    <mergeCell ref="K13:K16"/>
    <mergeCell ref="E18:E19"/>
    <mergeCell ref="F26:F27"/>
    <mergeCell ref="L138:L141"/>
    <mergeCell ref="F13:F16"/>
    <mergeCell ref="K79:K82"/>
    <mergeCell ref="G13:G16"/>
    <mergeCell ref="J13:J16"/>
    <mergeCell ref="H13:H16"/>
    <mergeCell ref="I138:I141"/>
    <mergeCell ref="K131:O131"/>
    <mergeCell ref="H26:H27"/>
    <mergeCell ref="F18:F19"/>
    <mergeCell ref="A306:A308"/>
    <mergeCell ref="J172:O172"/>
    <mergeCell ref="I13:I16"/>
    <mergeCell ref="I18:I19"/>
    <mergeCell ref="G18:G19"/>
    <mergeCell ref="N180:N183"/>
    <mergeCell ref="F137:I137"/>
    <mergeCell ref="B161:R161"/>
    <mergeCell ref="N138:N141"/>
    <mergeCell ref="G138:G141"/>
    <mergeCell ref="J201:O201"/>
    <mergeCell ref="A179:A181"/>
    <mergeCell ref="F214:H214"/>
    <mergeCell ref="H180:H183"/>
    <mergeCell ref="E137:E141"/>
    <mergeCell ref="K138:K141"/>
    <mergeCell ref="F138:F141"/>
    <mergeCell ref="J208:O208"/>
    <mergeCell ref="F179:H179"/>
    <mergeCell ref="B208:H208"/>
    <mergeCell ref="B209:H209"/>
    <mergeCell ref="F180:F183"/>
    <mergeCell ref="I180:I183"/>
    <mergeCell ref="G180:G183"/>
    <mergeCell ref="L180:L183"/>
    <mergeCell ref="J174:O174"/>
    <mergeCell ref="H144:I144"/>
    <mergeCell ref="H307:H310"/>
    <mergeCell ref="D306:D310"/>
    <mergeCell ref="E306:E310"/>
    <mergeCell ref="F307:F310"/>
    <mergeCell ref="K307:K310"/>
    <mergeCell ref="F306:J306"/>
    <mergeCell ref="J307:J310"/>
    <mergeCell ref="L215:L218"/>
    <mergeCell ref="P567:P571"/>
    <mergeCell ref="M367:M370"/>
    <mergeCell ref="L366:N366"/>
    <mergeCell ref="M180:M183"/>
    <mergeCell ref="M256:M259"/>
    <mergeCell ref="M215:M218"/>
    <mergeCell ref="J249:O249"/>
    <mergeCell ref="J250:O250"/>
    <mergeCell ref="N215:N218"/>
    <mergeCell ref="L367:L370"/>
    <mergeCell ref="A137:A139"/>
    <mergeCell ref="D366:D370"/>
    <mergeCell ref="E366:E370"/>
    <mergeCell ref="K256:K259"/>
    <mergeCell ref="E255:E259"/>
    <mergeCell ref="E214:E218"/>
    <mergeCell ref="F215:F218"/>
    <mergeCell ref="B361:H361"/>
    <mergeCell ref="A347:R347"/>
    <mergeCell ref="I256:I259"/>
    <mergeCell ref="Q78:Q82"/>
    <mergeCell ref="P137:P141"/>
    <mergeCell ref="B132:H132"/>
    <mergeCell ref="F79:F82"/>
    <mergeCell ref="P78:P82"/>
    <mergeCell ref="Q137:Q141"/>
    <mergeCell ref="B131:H131"/>
    <mergeCell ref="B133:H133"/>
    <mergeCell ref="J137:L137"/>
    <mergeCell ref="M138:M141"/>
    <mergeCell ref="Q214:Q218"/>
    <mergeCell ref="D137:D141"/>
    <mergeCell ref="H146:I146"/>
    <mergeCell ref="B251:H251"/>
    <mergeCell ref="H149:I149"/>
    <mergeCell ref="H148:I148"/>
    <mergeCell ref="D179:E183"/>
    <mergeCell ref="D214:D218"/>
    <mergeCell ref="B249:H249"/>
    <mergeCell ref="H138:H141"/>
    <mergeCell ref="B250:H250"/>
    <mergeCell ref="H256:H259"/>
    <mergeCell ref="P214:P218"/>
    <mergeCell ref="A214:A216"/>
    <mergeCell ref="J256:J259"/>
    <mergeCell ref="D255:D259"/>
    <mergeCell ref="I215:I218"/>
    <mergeCell ref="G215:G218"/>
    <mergeCell ref="J215:J218"/>
    <mergeCell ref="N256:N259"/>
    <mergeCell ref="H150:I150"/>
    <mergeCell ref="K215:K218"/>
    <mergeCell ref="Q255:Q259"/>
    <mergeCell ref="P366:P370"/>
    <mergeCell ref="Q366:Q370"/>
    <mergeCell ref="F366:J366"/>
    <mergeCell ref="I367:I370"/>
    <mergeCell ref="P255:P259"/>
    <mergeCell ref="P306:P310"/>
    <mergeCell ref="N568:N571"/>
    <mergeCell ref="I568:I571"/>
    <mergeCell ref="N542:N545"/>
    <mergeCell ref="J558:O558"/>
    <mergeCell ref="J561:O561"/>
    <mergeCell ref="J562:O562"/>
    <mergeCell ref="L568:L571"/>
    <mergeCell ref="K568:K571"/>
    <mergeCell ref="J542:J545"/>
    <mergeCell ref="A597:R597"/>
    <mergeCell ref="A111:R111"/>
    <mergeCell ref="A168:R168"/>
    <mergeCell ref="A233:R233"/>
    <mergeCell ref="A282:R282"/>
    <mergeCell ref="A340:R340"/>
    <mergeCell ref="A386:A388"/>
    <mergeCell ref="Q306:Q310"/>
    <mergeCell ref="K366:K370"/>
    <mergeCell ref="J367:J370"/>
  </mergeCells>
  <printOptions/>
  <pageMargins left="0" right="0" top="0.2362204724409449" bottom="0" header="0" footer="0"/>
  <pageSetup horizontalDpi="600" verticalDpi="600" orientation="portrait" paperSize="9" scale="63" r:id="rId1"/>
  <rowBreaks count="8" manualBreakCount="8">
    <brk id="53" max="17" man="1"/>
    <brk id="125" max="17" man="1"/>
    <brk id="178" max="17" man="1"/>
    <brk id="242" max="17" man="1"/>
    <brk id="295" max="17" man="1"/>
    <brk id="354" max="17" man="1"/>
    <brk id="420" max="17" man="1"/>
    <brk id="60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DE782"/>
  <sheetViews>
    <sheetView view="pageBreakPreview" zoomScale="80" zoomScaleSheetLayoutView="80" zoomScalePageLayoutView="0" workbookViewId="0" topLeftCell="A569">
      <selection activeCell="AA201" sqref="AA201"/>
    </sheetView>
  </sheetViews>
  <sheetFormatPr defaultColWidth="9.00390625" defaultRowHeight="12.75"/>
  <cols>
    <col min="1" max="1" width="3.875" style="3" customWidth="1"/>
    <col min="2" max="2" width="26.25390625" style="3" customWidth="1"/>
    <col min="3" max="3" width="6.25390625" style="3" customWidth="1"/>
    <col min="4" max="4" width="8.25390625" style="3" customWidth="1"/>
    <col min="5" max="5" width="6.00390625" style="67" customWidth="1"/>
    <col min="6" max="6" width="10.75390625" style="3" customWidth="1"/>
    <col min="7" max="7" width="9.375" style="3" customWidth="1"/>
    <col min="8" max="8" width="8.25390625" style="3" customWidth="1"/>
    <col min="9" max="9" width="8.625" style="3" customWidth="1"/>
    <col min="10" max="10" width="7.875" style="3" customWidth="1"/>
    <col min="11" max="11" width="9.00390625" style="3" customWidth="1"/>
    <col min="12" max="12" width="9.75390625" style="3" customWidth="1"/>
    <col min="13" max="13" width="9.375" style="3" customWidth="1"/>
    <col min="14" max="14" width="9.25390625" style="3" customWidth="1"/>
    <col min="15" max="16" width="10.25390625" style="3" customWidth="1"/>
    <col min="17" max="17" width="10.875" style="3" customWidth="1"/>
    <col min="18" max="18" width="11.875" style="3" customWidth="1"/>
    <col min="19" max="19" width="12.125" style="3" hidden="1" customWidth="1"/>
    <col min="20" max="20" width="12.375" style="3" hidden="1" customWidth="1"/>
    <col min="21" max="21" width="11.25390625" style="3" hidden="1" customWidth="1"/>
    <col min="22" max="22" width="9.75390625" style="3" hidden="1" customWidth="1"/>
    <col min="23" max="23" width="10.25390625" style="3" hidden="1" customWidth="1"/>
    <col min="24" max="24" width="10.75390625" style="3" hidden="1" customWidth="1"/>
    <col min="25" max="25" width="10.625" style="3" customWidth="1"/>
    <col min="26" max="16384" width="9.125" style="3" customWidth="1"/>
  </cols>
  <sheetData>
    <row r="1" spans="3:14" ht="15">
      <c r="C1" s="516"/>
      <c r="D1" s="516"/>
      <c r="E1" s="516"/>
      <c r="F1" s="516"/>
      <c r="G1" s="516"/>
      <c r="H1" s="516"/>
      <c r="I1" s="516"/>
      <c r="J1" s="516"/>
      <c r="K1" s="516"/>
      <c r="L1" s="516"/>
      <c r="N1" s="4"/>
    </row>
    <row r="2" spans="1:18" ht="20.25">
      <c r="A2" s="173"/>
      <c r="B2" s="173"/>
      <c r="C2" s="173"/>
      <c r="D2" s="173"/>
      <c r="E2" s="197"/>
      <c r="F2" s="173"/>
      <c r="G2" s="196"/>
      <c r="H2" s="173"/>
      <c r="I2" s="173"/>
      <c r="J2" s="173"/>
      <c r="K2" s="173" t="s">
        <v>309</v>
      </c>
      <c r="L2" s="173"/>
      <c r="M2" s="173"/>
      <c r="N2" s="173"/>
      <c r="O2" s="173"/>
      <c r="P2" s="173"/>
      <c r="Q2" s="173"/>
      <c r="R2" s="173"/>
    </row>
    <row r="3" spans="1:18" ht="15.75">
      <c r="A3" s="173"/>
      <c r="B3" s="173"/>
      <c r="C3" s="173"/>
      <c r="D3" s="173"/>
      <c r="E3" s="197"/>
      <c r="F3" s="173"/>
      <c r="G3" s="173"/>
      <c r="H3" s="173"/>
      <c r="I3" s="198"/>
      <c r="J3" s="198"/>
      <c r="K3" s="198" t="s">
        <v>359</v>
      </c>
      <c r="L3" s="198"/>
      <c r="M3" s="198"/>
      <c r="N3" s="198"/>
      <c r="O3" s="198"/>
      <c r="P3" s="198"/>
      <c r="Q3" s="198"/>
      <c r="R3" s="200"/>
    </row>
    <row r="4" spans="1:18" ht="15.75">
      <c r="A4" s="173"/>
      <c r="B4" s="173"/>
      <c r="C4" s="173"/>
      <c r="D4" s="173"/>
      <c r="E4" s="197"/>
      <c r="F4" s="173"/>
      <c r="G4" s="173"/>
      <c r="H4" s="173"/>
      <c r="I4" s="173"/>
      <c r="J4" s="173"/>
      <c r="K4" s="173" t="s">
        <v>353</v>
      </c>
      <c r="L4" s="173"/>
      <c r="M4" s="173"/>
      <c r="N4" s="173"/>
      <c r="O4" s="173"/>
      <c r="P4" s="173"/>
      <c r="Q4" s="173"/>
      <c r="R4" s="173"/>
    </row>
    <row r="5" spans="1:18" ht="16.5">
      <c r="A5" s="173"/>
      <c r="B5" s="459" t="s">
        <v>399</v>
      </c>
      <c r="C5" s="201"/>
      <c r="D5" s="173"/>
      <c r="E5" s="197"/>
      <c r="F5" s="173"/>
      <c r="G5" s="173"/>
      <c r="H5" s="173"/>
      <c r="I5" s="173"/>
      <c r="J5" s="173"/>
      <c r="K5" s="173" t="s">
        <v>390</v>
      </c>
      <c r="L5" s="173"/>
      <c r="M5" s="173"/>
      <c r="N5" s="173"/>
      <c r="O5" s="173"/>
      <c r="P5" s="173"/>
      <c r="Q5" s="173"/>
      <c r="R5" s="173"/>
    </row>
    <row r="6" spans="1:18" ht="42" customHeight="1">
      <c r="A6" s="173"/>
      <c r="B6" s="676" t="s">
        <v>299</v>
      </c>
      <c r="C6" s="676"/>
      <c r="D6" s="676"/>
      <c r="E6" s="676"/>
      <c r="F6" s="676"/>
      <c r="G6" s="676"/>
      <c r="H6" s="173"/>
      <c r="I6" s="156"/>
      <c r="J6" s="156"/>
      <c r="K6" s="156"/>
      <c r="L6" s="156"/>
      <c r="M6" s="156"/>
      <c r="N6" s="156"/>
      <c r="O6" s="156"/>
      <c r="P6" s="156"/>
      <c r="Q6" s="156"/>
      <c r="R6" s="173"/>
    </row>
    <row r="7" spans="1:18" ht="15.75">
      <c r="A7" s="173"/>
      <c r="B7" s="173" t="s">
        <v>16</v>
      </c>
      <c r="C7" s="173"/>
      <c r="D7" s="173"/>
      <c r="E7" s="197"/>
      <c r="F7" s="173"/>
      <c r="G7" s="173"/>
      <c r="H7" s="173"/>
      <c r="I7" s="156"/>
      <c r="J7" s="156"/>
      <c r="K7" s="156"/>
      <c r="L7" s="156"/>
      <c r="M7" s="156"/>
      <c r="N7" s="156"/>
      <c r="O7" s="156"/>
      <c r="P7" s="156"/>
      <c r="Q7" s="156"/>
      <c r="R7" s="156"/>
    </row>
    <row r="8" spans="1:18" ht="15.75">
      <c r="A8" s="173"/>
      <c r="B8" s="173"/>
      <c r="C8" s="173"/>
      <c r="D8" s="173"/>
      <c r="E8" s="197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</row>
    <row r="9" spans="1:18" ht="15.75">
      <c r="A9" s="173"/>
      <c r="B9" s="173"/>
      <c r="C9" s="173"/>
      <c r="D9" s="173"/>
      <c r="E9" s="197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</row>
    <row r="10" spans="1:18" ht="15">
      <c r="A10" s="172"/>
      <c r="B10" s="172"/>
      <c r="C10" s="172"/>
      <c r="D10" s="172"/>
      <c r="E10" s="175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</row>
    <row r="11" spans="1:18" ht="12.75" customHeight="1">
      <c r="A11" s="502" t="s">
        <v>1</v>
      </c>
      <c r="B11" s="202" t="s">
        <v>2</v>
      </c>
      <c r="C11" s="203" t="s">
        <v>4</v>
      </c>
      <c r="D11" s="504" t="s">
        <v>321</v>
      </c>
      <c r="E11" s="504" t="s">
        <v>322</v>
      </c>
      <c r="F11" s="515" t="s">
        <v>7</v>
      </c>
      <c r="G11" s="515"/>
      <c r="H11" s="515"/>
      <c r="I11" s="515"/>
      <c r="J11" s="496"/>
      <c r="K11" s="496"/>
      <c r="L11" s="205" t="s">
        <v>8</v>
      </c>
      <c r="M11" s="205"/>
      <c r="N11" s="206"/>
      <c r="O11" s="207" t="s">
        <v>10</v>
      </c>
      <c r="P11" s="493" t="s">
        <v>339</v>
      </c>
      <c r="Q11" s="473" t="s">
        <v>340</v>
      </c>
      <c r="R11" s="203" t="s">
        <v>13</v>
      </c>
    </row>
    <row r="12" spans="1:18" ht="12.75" customHeight="1">
      <c r="A12" s="503"/>
      <c r="B12" s="209" t="s">
        <v>3</v>
      </c>
      <c r="C12" s="209" t="s">
        <v>5</v>
      </c>
      <c r="D12" s="504"/>
      <c r="E12" s="504"/>
      <c r="F12" s="677" t="s">
        <v>18</v>
      </c>
      <c r="G12" s="523" t="s">
        <v>389</v>
      </c>
      <c r="H12" s="679" t="s">
        <v>242</v>
      </c>
      <c r="I12" s="489"/>
      <c r="J12" s="684" t="s">
        <v>253</v>
      </c>
      <c r="K12" s="498" t="s">
        <v>195</v>
      </c>
      <c r="L12" s="483" t="s">
        <v>113</v>
      </c>
      <c r="M12" s="657" t="s">
        <v>114</v>
      </c>
      <c r="N12" s="489" t="s">
        <v>231</v>
      </c>
      <c r="O12" s="156" t="s">
        <v>11</v>
      </c>
      <c r="P12" s="494"/>
      <c r="Q12" s="474"/>
      <c r="R12" s="210" t="s">
        <v>11</v>
      </c>
    </row>
    <row r="13" spans="1:20" ht="15.75">
      <c r="A13" s="503"/>
      <c r="B13" s="209"/>
      <c r="C13" s="209" t="s">
        <v>6</v>
      </c>
      <c r="D13" s="504"/>
      <c r="E13" s="504"/>
      <c r="F13" s="677"/>
      <c r="G13" s="483"/>
      <c r="H13" s="679"/>
      <c r="I13" s="483"/>
      <c r="J13" s="685"/>
      <c r="K13" s="499"/>
      <c r="L13" s="483"/>
      <c r="M13" s="658"/>
      <c r="N13" s="483"/>
      <c r="O13" s="211" t="s">
        <v>12</v>
      </c>
      <c r="P13" s="494"/>
      <c r="Q13" s="474"/>
      <c r="R13" s="210" t="s">
        <v>14</v>
      </c>
      <c r="T13" s="16"/>
    </row>
    <row r="14" spans="1:18" ht="15.75">
      <c r="A14" s="208"/>
      <c r="B14" s="209"/>
      <c r="C14" s="209"/>
      <c r="D14" s="504"/>
      <c r="E14" s="504"/>
      <c r="F14" s="677"/>
      <c r="G14" s="483"/>
      <c r="H14" s="679"/>
      <c r="I14" s="483"/>
      <c r="J14" s="685"/>
      <c r="K14" s="499"/>
      <c r="L14" s="483"/>
      <c r="M14" s="658"/>
      <c r="N14" s="483"/>
      <c r="O14" s="211" t="s">
        <v>115</v>
      </c>
      <c r="P14" s="494"/>
      <c r="Q14" s="474"/>
      <c r="R14" s="210" t="s">
        <v>115</v>
      </c>
    </row>
    <row r="15" spans="1:18" ht="78.75" customHeight="1">
      <c r="A15" s="212"/>
      <c r="B15" s="213"/>
      <c r="C15" s="214"/>
      <c r="D15" s="504"/>
      <c r="E15" s="504"/>
      <c r="F15" s="678"/>
      <c r="G15" s="484"/>
      <c r="H15" s="680"/>
      <c r="I15" s="484"/>
      <c r="J15" s="686"/>
      <c r="K15" s="500"/>
      <c r="L15" s="484"/>
      <c r="M15" s="659"/>
      <c r="N15" s="484"/>
      <c r="O15" s="215"/>
      <c r="P15" s="495"/>
      <c r="Q15" s="475"/>
      <c r="R15" s="216"/>
    </row>
    <row r="16" spans="1:19" ht="15.75">
      <c r="A16" s="217">
        <v>1</v>
      </c>
      <c r="B16" s="218" t="s">
        <v>152</v>
      </c>
      <c r="C16" s="219">
        <v>1</v>
      </c>
      <c r="D16" s="220">
        <v>4800</v>
      </c>
      <c r="E16" s="221">
        <v>17</v>
      </c>
      <c r="F16" s="222">
        <f>(D16+J16)*30%</f>
        <v>1512</v>
      </c>
      <c r="G16" s="222">
        <f>(D16*C16+J16+H16)*5%</f>
        <v>252</v>
      </c>
      <c r="H16" s="222"/>
      <c r="I16" s="222"/>
      <c r="J16" s="233">
        <f>D16*5%</f>
        <v>240</v>
      </c>
      <c r="K16" s="222"/>
      <c r="L16" s="222"/>
      <c r="M16" s="222"/>
      <c r="N16" s="222"/>
      <c r="O16" s="223">
        <f>D16*C16+F16+G16+H16+I16+K16+L16+M16+N16</f>
        <v>6564</v>
      </c>
      <c r="P16" s="223"/>
      <c r="Q16" s="223">
        <f>O16+P16</f>
        <v>6564</v>
      </c>
      <c r="R16" s="223">
        <f>O16*12</f>
        <v>78768</v>
      </c>
      <c r="S16" s="16">
        <f>D16+J16+D17*C17+J17+D19*C19+D20+D21*C21</f>
        <v>23500</v>
      </c>
    </row>
    <row r="17" spans="1:19" ht="57.75" customHeight="1">
      <c r="A17" s="204">
        <v>2</v>
      </c>
      <c r="B17" s="224" t="s">
        <v>127</v>
      </c>
      <c r="C17" s="225">
        <v>1.5</v>
      </c>
      <c r="D17" s="226">
        <f>D16*95%</f>
        <v>4560</v>
      </c>
      <c r="E17" s="227" t="s">
        <v>323</v>
      </c>
      <c r="F17" s="222">
        <f>(D17*C17+J17)*30%</f>
        <v>2120.4</v>
      </c>
      <c r="G17" s="222">
        <f>(D17*C17+J17+H17)*5%</f>
        <v>353.40000000000003</v>
      </c>
      <c r="H17" s="170"/>
      <c r="I17" s="170"/>
      <c r="J17" s="84">
        <f>D17*5%</f>
        <v>228</v>
      </c>
      <c r="K17" s="170"/>
      <c r="L17" s="170"/>
      <c r="M17" s="170"/>
      <c r="N17" s="222"/>
      <c r="O17" s="223">
        <f>D17*C17+F17+G17+H17+I17+K17+L17+M17+N17</f>
        <v>9313.8</v>
      </c>
      <c r="P17" s="223"/>
      <c r="Q17" s="223">
        <f aca="true" t="shared" si="0" ref="Q17:Q35">O17+P17</f>
        <v>9313.8</v>
      </c>
      <c r="R17" s="223">
        <f aca="true" t="shared" si="1" ref="R17:R35">O17*12</f>
        <v>111765.59999999999</v>
      </c>
      <c r="S17" s="16"/>
    </row>
    <row r="18" spans="1:18" ht="15.75" hidden="1">
      <c r="A18" s="204"/>
      <c r="B18" s="224"/>
      <c r="C18" s="225"/>
      <c r="D18" s="220"/>
      <c r="E18" s="228"/>
      <c r="F18" s="222"/>
      <c r="G18" s="222">
        <f>(D18*C18+J18+H18)*20%</f>
        <v>0</v>
      </c>
      <c r="H18" s="170"/>
      <c r="I18" s="170"/>
      <c r="J18" s="170"/>
      <c r="K18" s="170"/>
      <c r="L18" s="170"/>
      <c r="M18" s="170"/>
      <c r="N18" s="222"/>
      <c r="O18" s="223">
        <f aca="true" t="shared" si="2" ref="O18:O35">D18*C18+F18+G18+H18+I18+K18+L18+M18+N18</f>
        <v>0</v>
      </c>
      <c r="P18" s="223">
        <f aca="true" t="shared" si="3" ref="P18:P35">3200*C18-(O18-K18-L18-M18)</f>
        <v>0</v>
      </c>
      <c r="Q18" s="223">
        <f t="shared" si="0"/>
        <v>0</v>
      </c>
      <c r="R18" s="223">
        <f t="shared" si="1"/>
        <v>0</v>
      </c>
    </row>
    <row r="19" spans="1:18" ht="19.5" customHeight="1">
      <c r="A19" s="204">
        <v>3</v>
      </c>
      <c r="B19" s="224" t="s">
        <v>34</v>
      </c>
      <c r="C19" s="225">
        <v>0.5</v>
      </c>
      <c r="D19" s="220">
        <v>3872</v>
      </c>
      <c r="E19" s="221">
        <v>14</v>
      </c>
      <c r="F19" s="222">
        <f>D19*C19*30%</f>
        <v>580.8</v>
      </c>
      <c r="G19" s="222">
        <f>(D19*C19+J19+H19)*5%</f>
        <v>96.80000000000001</v>
      </c>
      <c r="H19" s="170"/>
      <c r="I19" s="170"/>
      <c r="J19" s="170"/>
      <c r="K19" s="170"/>
      <c r="L19" s="170"/>
      <c r="M19" s="170"/>
      <c r="N19" s="222"/>
      <c r="O19" s="223">
        <f t="shared" si="2"/>
        <v>2613.6000000000004</v>
      </c>
      <c r="P19" s="223"/>
      <c r="Q19" s="223">
        <f t="shared" si="0"/>
        <v>2613.6000000000004</v>
      </c>
      <c r="R19" s="223">
        <f t="shared" si="1"/>
        <v>31363.200000000004</v>
      </c>
    </row>
    <row r="20" spans="1:20" ht="19.5" customHeight="1">
      <c r="A20" s="204">
        <v>4</v>
      </c>
      <c r="B20" s="224" t="s">
        <v>21</v>
      </c>
      <c r="C20" s="225">
        <v>1</v>
      </c>
      <c r="D20" s="220">
        <v>3152</v>
      </c>
      <c r="E20" s="221">
        <v>11</v>
      </c>
      <c r="F20" s="222">
        <f>D20*10%</f>
        <v>315.20000000000005</v>
      </c>
      <c r="G20" s="222">
        <f>(D20*C20+J20+H20)*5%</f>
        <v>157.60000000000002</v>
      </c>
      <c r="H20" s="170"/>
      <c r="I20" s="170"/>
      <c r="J20" s="170"/>
      <c r="K20" s="170"/>
      <c r="L20" s="170"/>
      <c r="M20" s="170"/>
      <c r="N20" s="222"/>
      <c r="O20" s="223">
        <f t="shared" si="2"/>
        <v>3624.7999999999997</v>
      </c>
      <c r="P20" s="223"/>
      <c r="Q20" s="223">
        <f t="shared" si="0"/>
        <v>3624.7999999999997</v>
      </c>
      <c r="R20" s="223">
        <f t="shared" si="1"/>
        <v>43497.6</v>
      </c>
      <c r="S20" s="68"/>
      <c r="T20" s="2"/>
    </row>
    <row r="21" spans="1:20" ht="18.75" customHeight="1">
      <c r="A21" s="204">
        <v>5</v>
      </c>
      <c r="B21" s="224" t="s">
        <v>32</v>
      </c>
      <c r="C21" s="225">
        <v>2</v>
      </c>
      <c r="D21" s="220">
        <v>3152</v>
      </c>
      <c r="E21" s="221">
        <v>11</v>
      </c>
      <c r="F21" s="222">
        <v>814.65</v>
      </c>
      <c r="G21" s="222">
        <f>(D21*C21+J21+H21)*5%</f>
        <v>315.20000000000005</v>
      </c>
      <c r="H21" s="170"/>
      <c r="I21" s="170"/>
      <c r="J21" s="170"/>
      <c r="K21" s="170"/>
      <c r="L21" s="170"/>
      <c r="M21" s="170"/>
      <c r="N21" s="222"/>
      <c r="O21" s="223">
        <f t="shared" si="2"/>
        <v>7433.849999999999</v>
      </c>
      <c r="P21" s="223"/>
      <c r="Q21" s="223">
        <f t="shared" si="0"/>
        <v>7433.849999999999</v>
      </c>
      <c r="R21" s="223">
        <f t="shared" si="1"/>
        <v>89206.2</v>
      </c>
      <c r="T21" s="16"/>
    </row>
    <row r="22" spans="1:20" ht="19.5" customHeight="1">
      <c r="A22" s="204">
        <v>6</v>
      </c>
      <c r="B22" s="224" t="s">
        <v>205</v>
      </c>
      <c r="C22" s="225">
        <v>1</v>
      </c>
      <c r="D22" s="278">
        <v>3392</v>
      </c>
      <c r="E22" s="293">
        <v>12</v>
      </c>
      <c r="F22" s="222">
        <f>(D22*C22)*10%</f>
        <v>339.20000000000005</v>
      </c>
      <c r="G22" s="222"/>
      <c r="H22" s="84">
        <f>D22*10%</f>
        <v>339.20000000000005</v>
      </c>
      <c r="I22" s="170"/>
      <c r="J22" s="170"/>
      <c r="K22" s="170"/>
      <c r="L22" s="170"/>
      <c r="M22" s="170"/>
      <c r="N22" s="170"/>
      <c r="O22" s="223">
        <f t="shared" si="2"/>
        <v>4070.3999999999996</v>
      </c>
      <c r="P22" s="223"/>
      <c r="Q22" s="223">
        <f t="shared" si="0"/>
        <v>4070.3999999999996</v>
      </c>
      <c r="R22" s="223">
        <f t="shared" si="1"/>
        <v>48844.799999999996</v>
      </c>
      <c r="S22" s="3">
        <f>D22+H22+D23+D25+D26+D27*C27+D28+D29+D30*C30+D31*C31+D33*C33+D34+D35</f>
        <v>39759.2</v>
      </c>
      <c r="T22" s="16"/>
    </row>
    <row r="23" spans="1:20" ht="18" customHeight="1">
      <c r="A23" s="204">
        <v>7</v>
      </c>
      <c r="B23" s="224" t="s">
        <v>221</v>
      </c>
      <c r="C23" s="225">
        <v>1</v>
      </c>
      <c r="D23" s="220">
        <v>2320</v>
      </c>
      <c r="E23" s="221">
        <v>6</v>
      </c>
      <c r="F23" s="222">
        <f>D23*20%</f>
        <v>464</v>
      </c>
      <c r="G23" s="222"/>
      <c r="H23" s="170"/>
      <c r="I23" s="170"/>
      <c r="J23" s="170"/>
      <c r="K23" s="170"/>
      <c r="L23" s="170"/>
      <c r="M23" s="170"/>
      <c r="N23" s="170">
        <f>D23*C23*7%</f>
        <v>162.4</v>
      </c>
      <c r="O23" s="223">
        <f t="shared" si="2"/>
        <v>2946.4</v>
      </c>
      <c r="P23" s="223">
        <f t="shared" si="3"/>
        <v>253.5999999999999</v>
      </c>
      <c r="Q23" s="223">
        <f t="shared" si="0"/>
        <v>3200</v>
      </c>
      <c r="R23" s="223">
        <f t="shared" si="1"/>
        <v>35356.8</v>
      </c>
      <c r="T23" s="16"/>
    </row>
    <row r="24" spans="1:20" ht="20.25" customHeight="1" hidden="1">
      <c r="A24" s="204">
        <v>8</v>
      </c>
      <c r="B24" s="224" t="s">
        <v>179</v>
      </c>
      <c r="C24" s="225"/>
      <c r="D24" s="220"/>
      <c r="E24" s="221">
        <v>9</v>
      </c>
      <c r="F24" s="222"/>
      <c r="G24" s="222"/>
      <c r="H24" s="170"/>
      <c r="I24" s="170"/>
      <c r="J24" s="170"/>
      <c r="K24" s="170"/>
      <c r="L24" s="170"/>
      <c r="M24" s="170"/>
      <c r="N24" s="170"/>
      <c r="O24" s="223">
        <f t="shared" si="2"/>
        <v>0</v>
      </c>
      <c r="P24" s="223">
        <f t="shared" si="3"/>
        <v>0</v>
      </c>
      <c r="Q24" s="223">
        <f t="shared" si="0"/>
        <v>0</v>
      </c>
      <c r="R24" s="223">
        <f t="shared" si="1"/>
        <v>0</v>
      </c>
      <c r="T24" s="16"/>
    </row>
    <row r="25" spans="1:18" ht="34.5" customHeight="1">
      <c r="A25" s="204">
        <v>8</v>
      </c>
      <c r="B25" s="229" t="s">
        <v>203</v>
      </c>
      <c r="C25" s="225">
        <v>1</v>
      </c>
      <c r="D25" s="220">
        <v>2624</v>
      </c>
      <c r="E25" s="221">
        <v>8</v>
      </c>
      <c r="F25" s="170"/>
      <c r="G25" s="170"/>
      <c r="H25" s="170"/>
      <c r="I25" s="170"/>
      <c r="J25" s="170"/>
      <c r="K25" s="170"/>
      <c r="L25" s="170"/>
      <c r="M25" s="170"/>
      <c r="N25" s="170"/>
      <c r="O25" s="223">
        <f t="shared" si="2"/>
        <v>2624</v>
      </c>
      <c r="P25" s="223">
        <f t="shared" si="3"/>
        <v>576</v>
      </c>
      <c r="Q25" s="223">
        <f t="shared" si="0"/>
        <v>3200</v>
      </c>
      <c r="R25" s="223">
        <f t="shared" si="1"/>
        <v>31488</v>
      </c>
    </row>
    <row r="26" spans="1:18" ht="18.75" customHeight="1">
      <c r="A26" s="204">
        <v>9</v>
      </c>
      <c r="B26" s="224" t="s">
        <v>23</v>
      </c>
      <c r="C26" s="225">
        <v>1</v>
      </c>
      <c r="D26" s="220">
        <v>2176</v>
      </c>
      <c r="E26" s="221">
        <v>5</v>
      </c>
      <c r="F26" s="170"/>
      <c r="G26" s="170"/>
      <c r="H26" s="170"/>
      <c r="I26" s="170"/>
      <c r="J26" s="170"/>
      <c r="K26" s="170"/>
      <c r="L26" s="170"/>
      <c r="M26" s="170"/>
      <c r="N26" s="170"/>
      <c r="O26" s="223">
        <f t="shared" si="2"/>
        <v>2176</v>
      </c>
      <c r="P26" s="223">
        <f t="shared" si="3"/>
        <v>1024</v>
      </c>
      <c r="Q26" s="223">
        <f t="shared" si="0"/>
        <v>3200</v>
      </c>
      <c r="R26" s="223">
        <f t="shared" si="1"/>
        <v>26112</v>
      </c>
    </row>
    <row r="27" spans="1:18" ht="17.25" customHeight="1">
      <c r="A27" s="204">
        <v>10</v>
      </c>
      <c r="B27" s="224" t="s">
        <v>24</v>
      </c>
      <c r="C27" s="170">
        <v>0.5</v>
      </c>
      <c r="D27" s="220">
        <v>2032</v>
      </c>
      <c r="E27" s="221">
        <v>4</v>
      </c>
      <c r="F27" s="170"/>
      <c r="G27" s="170"/>
      <c r="H27" s="170"/>
      <c r="I27" s="170"/>
      <c r="J27" s="170"/>
      <c r="K27" s="170"/>
      <c r="L27" s="170"/>
      <c r="M27" s="170"/>
      <c r="N27" s="170"/>
      <c r="O27" s="223">
        <f t="shared" si="2"/>
        <v>1016</v>
      </c>
      <c r="P27" s="223">
        <f t="shared" si="3"/>
        <v>584</v>
      </c>
      <c r="Q27" s="223">
        <f t="shared" si="0"/>
        <v>1600</v>
      </c>
      <c r="R27" s="223">
        <f t="shared" si="1"/>
        <v>12192</v>
      </c>
    </row>
    <row r="28" spans="1:21" ht="54.75" customHeight="1">
      <c r="A28" s="204">
        <v>11</v>
      </c>
      <c r="B28" s="224" t="s">
        <v>251</v>
      </c>
      <c r="C28" s="225">
        <v>1</v>
      </c>
      <c r="D28" s="220">
        <v>2032</v>
      </c>
      <c r="E28" s="221">
        <v>4</v>
      </c>
      <c r="F28" s="170"/>
      <c r="G28" s="170"/>
      <c r="H28" s="170"/>
      <c r="I28" s="170"/>
      <c r="J28" s="170"/>
      <c r="K28" s="170"/>
      <c r="L28" s="170"/>
      <c r="M28" s="170"/>
      <c r="N28" s="170"/>
      <c r="O28" s="223">
        <f t="shared" si="2"/>
        <v>2032</v>
      </c>
      <c r="P28" s="223">
        <f t="shared" si="3"/>
        <v>1168</v>
      </c>
      <c r="Q28" s="223">
        <f t="shared" si="0"/>
        <v>3200</v>
      </c>
      <c r="R28" s="223">
        <f t="shared" si="1"/>
        <v>24384</v>
      </c>
      <c r="U28" s="16"/>
    </row>
    <row r="29" spans="1:19" ht="19.5" customHeight="1">
      <c r="A29" s="204">
        <v>12</v>
      </c>
      <c r="B29" s="224" t="s">
        <v>26</v>
      </c>
      <c r="C29" s="225">
        <v>1</v>
      </c>
      <c r="D29" s="220">
        <v>1600</v>
      </c>
      <c r="E29" s="221">
        <v>1</v>
      </c>
      <c r="F29" s="170"/>
      <c r="G29" s="170"/>
      <c r="H29" s="170"/>
      <c r="I29" s="170"/>
      <c r="J29" s="170"/>
      <c r="K29" s="170"/>
      <c r="L29" s="170"/>
      <c r="M29" s="170"/>
      <c r="N29" s="170"/>
      <c r="O29" s="223">
        <f t="shared" si="2"/>
        <v>1600</v>
      </c>
      <c r="P29" s="223">
        <f t="shared" si="3"/>
        <v>1600</v>
      </c>
      <c r="Q29" s="223">
        <f t="shared" si="0"/>
        <v>3200</v>
      </c>
      <c r="R29" s="223">
        <f t="shared" si="1"/>
        <v>19200</v>
      </c>
      <c r="S29" s="16"/>
    </row>
    <row r="30" spans="1:18" ht="19.5" customHeight="1">
      <c r="A30" s="204">
        <v>13</v>
      </c>
      <c r="B30" s="224" t="s">
        <v>27</v>
      </c>
      <c r="C30" s="170">
        <v>2.75</v>
      </c>
      <c r="D30" s="220">
        <v>1744</v>
      </c>
      <c r="E30" s="221">
        <v>2</v>
      </c>
      <c r="F30" s="170"/>
      <c r="G30" s="170"/>
      <c r="H30" s="170"/>
      <c r="I30" s="170"/>
      <c r="J30" s="170"/>
      <c r="K30" s="170"/>
      <c r="L30" s="170"/>
      <c r="M30" s="84">
        <f>D30*40%*C30</f>
        <v>1918.4</v>
      </c>
      <c r="N30" s="170"/>
      <c r="O30" s="223">
        <f t="shared" si="2"/>
        <v>6714.4</v>
      </c>
      <c r="P30" s="223">
        <f t="shared" si="3"/>
        <v>4004</v>
      </c>
      <c r="Q30" s="223">
        <f t="shared" si="0"/>
        <v>10718.4</v>
      </c>
      <c r="R30" s="223">
        <f t="shared" si="1"/>
        <v>80572.79999999999</v>
      </c>
    </row>
    <row r="31" spans="1:19" ht="31.5" customHeight="1">
      <c r="A31" s="204">
        <v>14</v>
      </c>
      <c r="B31" s="224" t="s">
        <v>193</v>
      </c>
      <c r="C31" s="225">
        <v>5.5</v>
      </c>
      <c r="D31" s="220">
        <v>1744</v>
      </c>
      <c r="E31" s="221">
        <v>2</v>
      </c>
      <c r="F31" s="170"/>
      <c r="G31" s="170"/>
      <c r="H31" s="170"/>
      <c r="I31" s="170"/>
      <c r="J31" s="170"/>
      <c r="K31" s="170"/>
      <c r="L31" s="170">
        <f>D31*4*10%</f>
        <v>697.6</v>
      </c>
      <c r="M31" s="84"/>
      <c r="N31" s="170"/>
      <c r="O31" s="223">
        <f t="shared" si="2"/>
        <v>10289.6</v>
      </c>
      <c r="P31" s="223">
        <f t="shared" si="3"/>
        <v>8008</v>
      </c>
      <c r="Q31" s="223">
        <f t="shared" si="0"/>
        <v>18297.6</v>
      </c>
      <c r="R31" s="234">
        <f t="shared" si="1"/>
        <v>123475.20000000001</v>
      </c>
      <c r="S31" s="16"/>
    </row>
    <row r="32" spans="1:18" ht="16.5" customHeight="1" hidden="1">
      <c r="A32" s="204"/>
      <c r="B32" s="224"/>
      <c r="C32" s="225"/>
      <c r="D32" s="220"/>
      <c r="E32" s="221"/>
      <c r="F32" s="170"/>
      <c r="G32" s="170"/>
      <c r="H32" s="170"/>
      <c r="I32" s="170"/>
      <c r="J32" s="170"/>
      <c r="K32" s="170"/>
      <c r="L32" s="170"/>
      <c r="M32" s="84"/>
      <c r="N32" s="170"/>
      <c r="O32" s="223">
        <f t="shared" si="2"/>
        <v>0</v>
      </c>
      <c r="P32" s="223">
        <f t="shared" si="3"/>
        <v>0</v>
      </c>
      <c r="Q32" s="223">
        <f t="shared" si="0"/>
        <v>0</v>
      </c>
      <c r="R32" s="223">
        <f t="shared" si="1"/>
        <v>0</v>
      </c>
    </row>
    <row r="33" spans="1:18" ht="17.25" customHeight="1">
      <c r="A33" s="204">
        <v>15</v>
      </c>
      <c r="B33" s="224" t="s">
        <v>25</v>
      </c>
      <c r="C33" s="225">
        <v>3</v>
      </c>
      <c r="D33" s="220">
        <v>2176</v>
      </c>
      <c r="E33" s="221">
        <v>5</v>
      </c>
      <c r="F33" s="170"/>
      <c r="G33" s="170"/>
      <c r="H33" s="170"/>
      <c r="I33" s="84"/>
      <c r="J33" s="170"/>
      <c r="K33" s="170">
        <f>D33*C33*12%</f>
        <v>783.36</v>
      </c>
      <c r="L33" s="170"/>
      <c r="M33" s="84"/>
      <c r="N33" s="170">
        <f>(D33*20%+D33*C33*15%)</f>
        <v>1414.4</v>
      </c>
      <c r="O33" s="223">
        <f t="shared" si="2"/>
        <v>8725.76</v>
      </c>
      <c r="P33" s="223">
        <f t="shared" si="3"/>
        <v>1657.5999999999995</v>
      </c>
      <c r="Q33" s="223">
        <f t="shared" si="0"/>
        <v>10383.36</v>
      </c>
      <c r="R33" s="223">
        <f t="shared" si="1"/>
        <v>104709.12</v>
      </c>
    </row>
    <row r="34" spans="1:18" ht="19.5" customHeight="1">
      <c r="A34" s="204">
        <v>16</v>
      </c>
      <c r="B34" s="224" t="s">
        <v>151</v>
      </c>
      <c r="C34" s="225">
        <v>1</v>
      </c>
      <c r="D34" s="220">
        <v>1600</v>
      </c>
      <c r="E34" s="221">
        <v>1</v>
      </c>
      <c r="F34" s="170"/>
      <c r="G34" s="170"/>
      <c r="H34" s="170"/>
      <c r="I34" s="170"/>
      <c r="J34" s="170"/>
      <c r="K34" s="170">
        <f>D34*12%</f>
        <v>192</v>
      </c>
      <c r="L34" s="170"/>
      <c r="M34" s="84"/>
      <c r="N34" s="170">
        <f>D34*15%</f>
        <v>240</v>
      </c>
      <c r="O34" s="223">
        <f t="shared" si="2"/>
        <v>2032</v>
      </c>
      <c r="P34" s="223">
        <f t="shared" si="3"/>
        <v>1360</v>
      </c>
      <c r="Q34" s="223">
        <f t="shared" si="0"/>
        <v>3392</v>
      </c>
      <c r="R34" s="223">
        <f t="shared" si="1"/>
        <v>24384</v>
      </c>
    </row>
    <row r="35" spans="1:20" ht="21" customHeight="1">
      <c r="A35" s="204">
        <v>17</v>
      </c>
      <c r="B35" s="224" t="s">
        <v>31</v>
      </c>
      <c r="C35" s="225">
        <v>1</v>
      </c>
      <c r="D35" s="220">
        <v>1744</v>
      </c>
      <c r="E35" s="221">
        <v>2</v>
      </c>
      <c r="F35" s="170"/>
      <c r="G35" s="170"/>
      <c r="H35" s="170"/>
      <c r="I35" s="170"/>
      <c r="J35" s="170"/>
      <c r="K35" s="170"/>
      <c r="L35" s="170"/>
      <c r="M35" s="84"/>
      <c r="N35" s="170"/>
      <c r="O35" s="223">
        <f t="shared" si="2"/>
        <v>1744</v>
      </c>
      <c r="P35" s="223">
        <f t="shared" si="3"/>
        <v>1456</v>
      </c>
      <c r="Q35" s="223">
        <f t="shared" si="0"/>
        <v>3200</v>
      </c>
      <c r="R35" s="223">
        <f t="shared" si="1"/>
        <v>20928</v>
      </c>
      <c r="T35" s="172"/>
    </row>
    <row r="36" spans="1:20" ht="28.5" customHeight="1" hidden="1">
      <c r="A36" s="204"/>
      <c r="B36" s="224"/>
      <c r="C36" s="170"/>
      <c r="D36" s="220"/>
      <c r="E36" s="228"/>
      <c r="F36" s="170"/>
      <c r="G36" s="170"/>
      <c r="H36" s="170"/>
      <c r="I36" s="170"/>
      <c r="J36" s="170"/>
      <c r="K36" s="170"/>
      <c r="L36" s="170"/>
      <c r="M36" s="84"/>
      <c r="N36" s="170"/>
      <c r="O36" s="223"/>
      <c r="P36" s="223"/>
      <c r="Q36" s="223"/>
      <c r="R36" s="223"/>
      <c r="T36" s="172"/>
    </row>
    <row r="37" spans="1:20" ht="28.5" customHeight="1" hidden="1">
      <c r="A37" s="204"/>
      <c r="B37" s="224"/>
      <c r="C37" s="170"/>
      <c r="D37" s="220"/>
      <c r="E37" s="228"/>
      <c r="F37" s="170"/>
      <c r="G37" s="170"/>
      <c r="H37" s="170"/>
      <c r="I37" s="170"/>
      <c r="J37" s="170"/>
      <c r="K37" s="170"/>
      <c r="L37" s="170"/>
      <c r="M37" s="84"/>
      <c r="N37" s="170"/>
      <c r="O37" s="223"/>
      <c r="P37" s="223"/>
      <c r="Q37" s="223"/>
      <c r="R37" s="223"/>
      <c r="T37" s="172"/>
    </row>
    <row r="38" spans="1:23" ht="15.75">
      <c r="A38" s="204"/>
      <c r="B38" s="224" t="s">
        <v>246</v>
      </c>
      <c r="C38" s="84">
        <f>SUM(C16:C37)</f>
        <v>25.75</v>
      </c>
      <c r="D38" s="230">
        <f>D16+D17*C17+D19*C19+D20+D21*C21+D22+D25+D26+D27*C27+D28+D29+D30*C30+D31*C31+D32*C32+D33*C33+D34+D35+D23+D24</f>
        <v>62452</v>
      </c>
      <c r="E38" s="231"/>
      <c r="F38" s="170">
        <f>SUM(F16:F35)</f>
        <v>6146.249999999999</v>
      </c>
      <c r="G38" s="170">
        <f aca="true" t="shared" si="4" ref="G38:N38">SUM(G16:G35)</f>
        <v>1175</v>
      </c>
      <c r="H38" s="84">
        <f t="shared" si="4"/>
        <v>339.20000000000005</v>
      </c>
      <c r="I38" s="84">
        <f t="shared" si="4"/>
        <v>0</v>
      </c>
      <c r="J38" s="170"/>
      <c r="K38" s="170">
        <f t="shared" si="4"/>
        <v>975.36</v>
      </c>
      <c r="L38" s="170">
        <f t="shared" si="4"/>
        <v>697.6</v>
      </c>
      <c r="M38" s="84">
        <f t="shared" si="4"/>
        <v>1918.4</v>
      </c>
      <c r="N38" s="84">
        <f t="shared" si="4"/>
        <v>1816.8000000000002</v>
      </c>
      <c r="O38" s="84">
        <f>SUM(O16:O36)</f>
        <v>75520.61</v>
      </c>
      <c r="P38" s="84">
        <f>SUM(P16:P36)</f>
        <v>21691.199999999997</v>
      </c>
      <c r="Q38" s="84">
        <f>SUM(Q16:Q36)</f>
        <v>97211.81</v>
      </c>
      <c r="R38" s="84">
        <f>SUM(R16:R36)</f>
        <v>906247.32</v>
      </c>
      <c r="T38" s="172"/>
      <c r="W38" s="16"/>
    </row>
    <row r="39" spans="1:22" ht="37.5" customHeight="1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414"/>
      <c r="R39" s="198"/>
      <c r="S39" s="2"/>
      <c r="T39" s="2"/>
      <c r="U39" s="2"/>
      <c r="V39" s="2"/>
    </row>
    <row r="40" spans="1:22" ht="37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18" ht="14.25" customHeight="1">
      <c r="A41" s="172"/>
      <c r="B41" s="172"/>
      <c r="C41" s="200" t="s">
        <v>371</v>
      </c>
      <c r="D41" s="200"/>
      <c r="E41" s="200"/>
      <c r="F41" s="200"/>
      <c r="G41" s="200"/>
      <c r="H41" s="200"/>
      <c r="I41" s="200"/>
      <c r="J41" s="200"/>
      <c r="K41" s="198" t="s">
        <v>372</v>
      </c>
      <c r="L41" s="198"/>
      <c r="M41" s="198"/>
      <c r="N41" s="198"/>
      <c r="O41" s="172"/>
      <c r="P41" s="172"/>
      <c r="Q41" s="172"/>
      <c r="R41" s="172"/>
    </row>
    <row r="42" spans="1:18" ht="18.75">
      <c r="A42" s="198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198"/>
      <c r="O42" s="198"/>
      <c r="P42" s="198"/>
      <c r="Q42" s="198"/>
      <c r="R42" s="198"/>
    </row>
    <row r="43" spans="1:18" ht="15">
      <c r="A43" s="469"/>
      <c r="B43" s="469"/>
      <c r="C43" s="469"/>
      <c r="D43" s="469"/>
      <c r="E43" s="469"/>
      <c r="F43" s="469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</row>
    <row r="44" spans="1:18" ht="15">
      <c r="A44" s="172"/>
      <c r="B44" s="418" t="s">
        <v>368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</row>
    <row r="45" spans="2:5" ht="15">
      <c r="B45" s="194">
        <v>42041</v>
      </c>
      <c r="E45" s="3"/>
    </row>
    <row r="46" ht="15" hidden="1"/>
    <row r="47" ht="15" hidden="1"/>
    <row r="48" ht="15" hidden="1"/>
    <row r="49" spans="1:18" ht="15" hidden="1">
      <c r="A49" s="2"/>
      <c r="B49" s="2"/>
      <c r="C49" s="2"/>
      <c r="D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4.25" customHeight="1" hidden="1"/>
    <row r="58" ht="15" hidden="1"/>
    <row r="59" ht="20.25">
      <c r="G59" s="196"/>
    </row>
    <row r="60" spans="1:18" ht="15">
      <c r="A60" s="172"/>
      <c r="B60" s="172"/>
      <c r="C60" s="172"/>
      <c r="D60" s="172"/>
      <c r="E60" s="175"/>
      <c r="F60" s="172"/>
      <c r="G60" s="172"/>
      <c r="H60" s="172"/>
      <c r="I60" s="172"/>
      <c r="J60" s="172"/>
      <c r="K60" s="172" t="s">
        <v>310</v>
      </c>
      <c r="L60" s="172"/>
      <c r="M60" s="172"/>
      <c r="N60" s="172"/>
      <c r="O60" s="172"/>
      <c r="P60" s="172"/>
      <c r="Q60" s="172"/>
      <c r="R60" s="172"/>
    </row>
    <row r="61" spans="1:18" ht="15.75">
      <c r="A61" s="172"/>
      <c r="B61" s="172"/>
      <c r="C61" s="172"/>
      <c r="D61" s="172"/>
      <c r="E61" s="175"/>
      <c r="F61" s="172"/>
      <c r="G61" s="172"/>
      <c r="H61" s="172"/>
      <c r="I61" s="172"/>
      <c r="J61" s="198" t="s">
        <v>362</v>
      </c>
      <c r="K61" s="200"/>
      <c r="L61" s="172"/>
      <c r="M61" s="172"/>
      <c r="N61" s="172"/>
      <c r="O61" s="172"/>
      <c r="P61" s="172"/>
      <c r="Q61" s="172"/>
      <c r="R61" s="172"/>
    </row>
    <row r="62" spans="1:18" ht="15.75">
      <c r="A62" s="172"/>
      <c r="B62" s="172"/>
      <c r="C62" s="172"/>
      <c r="D62" s="172"/>
      <c r="E62" s="175"/>
      <c r="F62" s="172"/>
      <c r="G62" s="172"/>
      <c r="H62" s="172"/>
      <c r="I62" s="198"/>
      <c r="J62" s="172" t="s">
        <v>354</v>
      </c>
      <c r="K62" s="172"/>
      <c r="L62" s="200"/>
      <c r="M62" s="200"/>
      <c r="N62" s="200"/>
      <c r="O62" s="200"/>
      <c r="P62" s="200"/>
      <c r="Q62" s="200"/>
      <c r="R62" s="198"/>
    </row>
    <row r="63" spans="1:18" ht="16.5">
      <c r="A63" s="172"/>
      <c r="B63" s="459" t="s">
        <v>365</v>
      </c>
      <c r="C63" s="235"/>
      <c r="D63" s="172"/>
      <c r="E63" s="175"/>
      <c r="F63" s="172"/>
      <c r="G63" s="172"/>
      <c r="H63" s="172"/>
      <c r="I63" s="172"/>
      <c r="J63" s="172" t="s">
        <v>391</v>
      </c>
      <c r="K63" s="172"/>
      <c r="L63" s="172"/>
      <c r="M63" s="172"/>
      <c r="N63" s="172"/>
      <c r="O63" s="172"/>
      <c r="P63" s="172"/>
      <c r="Q63" s="172"/>
      <c r="R63" s="172"/>
    </row>
    <row r="64" spans="1:18" ht="33" customHeight="1">
      <c r="A64" s="172"/>
      <c r="B64" s="683" t="s">
        <v>300</v>
      </c>
      <c r="C64" s="683"/>
      <c r="D64" s="683"/>
      <c r="E64" s="683"/>
      <c r="F64" s="683"/>
      <c r="G64" s="683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</row>
    <row r="65" spans="1:18" ht="15">
      <c r="A65" s="172"/>
      <c r="B65" s="172" t="s">
        <v>16</v>
      </c>
      <c r="C65" s="172"/>
      <c r="D65" s="172"/>
      <c r="E65" s="175"/>
      <c r="F65" s="172"/>
      <c r="G65" s="172"/>
      <c r="H65" s="172"/>
      <c r="I65" s="176"/>
      <c r="J65" s="176"/>
      <c r="K65" s="176"/>
      <c r="L65" s="176"/>
      <c r="M65" s="176"/>
      <c r="N65" s="176"/>
      <c r="O65" s="176"/>
      <c r="P65" s="176"/>
      <c r="Q65" s="176"/>
      <c r="R65" s="172"/>
    </row>
    <row r="66" spans="1:18" ht="15">
      <c r="A66" s="172"/>
      <c r="B66" s="172"/>
      <c r="C66" s="172"/>
      <c r="D66" s="172"/>
      <c r="E66" s="175"/>
      <c r="F66" s="172"/>
      <c r="G66" s="172"/>
      <c r="H66" s="172"/>
      <c r="I66" s="176"/>
      <c r="J66" s="176"/>
      <c r="K66" s="176"/>
      <c r="L66" s="176"/>
      <c r="M66" s="176"/>
      <c r="N66" s="176"/>
      <c r="O66" s="176"/>
      <c r="P66" s="176"/>
      <c r="Q66" s="176"/>
      <c r="R66" s="172"/>
    </row>
    <row r="67" spans="1:18" ht="15">
      <c r="A67" s="172"/>
      <c r="B67" s="172"/>
      <c r="C67" s="172"/>
      <c r="D67" s="172"/>
      <c r="E67" s="175"/>
      <c r="F67" s="172"/>
      <c r="G67" s="172"/>
      <c r="H67" s="172"/>
      <c r="I67" s="176"/>
      <c r="J67" s="176"/>
      <c r="K67" s="176"/>
      <c r="L67" s="176"/>
      <c r="M67" s="176"/>
      <c r="N67" s="176"/>
      <c r="O67" s="176"/>
      <c r="P67" s="176"/>
      <c r="Q67" s="176"/>
      <c r="R67" s="172"/>
    </row>
    <row r="68" spans="1:18" ht="15">
      <c r="A68" s="172"/>
      <c r="B68" s="172"/>
      <c r="C68" s="172"/>
      <c r="D68" s="172"/>
      <c r="E68" s="175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</row>
    <row r="69" spans="1:18" ht="12.75" customHeight="1">
      <c r="A69" s="654" t="s">
        <v>1</v>
      </c>
      <c r="B69" s="236" t="s">
        <v>2</v>
      </c>
      <c r="C69" s="237" t="s">
        <v>4</v>
      </c>
      <c r="D69" s="504" t="s">
        <v>321</v>
      </c>
      <c r="E69" s="504" t="s">
        <v>322</v>
      </c>
      <c r="F69" s="562" t="s">
        <v>7</v>
      </c>
      <c r="G69" s="562"/>
      <c r="H69" s="562"/>
      <c r="I69" s="562"/>
      <c r="J69" s="562"/>
      <c r="K69" s="562"/>
      <c r="L69" s="239" t="s">
        <v>8</v>
      </c>
      <c r="M69" s="239"/>
      <c r="N69" s="239"/>
      <c r="O69" s="240" t="s">
        <v>10</v>
      </c>
      <c r="P69" s="493" t="s">
        <v>339</v>
      </c>
      <c r="Q69" s="473" t="s">
        <v>340</v>
      </c>
      <c r="R69" s="237" t="s">
        <v>13</v>
      </c>
    </row>
    <row r="70" spans="1:18" ht="12.75" customHeight="1">
      <c r="A70" s="655"/>
      <c r="B70" s="242" t="s">
        <v>3</v>
      </c>
      <c r="C70" s="242" t="s">
        <v>5</v>
      </c>
      <c r="D70" s="504"/>
      <c r="E70" s="504"/>
      <c r="F70" s="664" t="s">
        <v>18</v>
      </c>
      <c r="G70" s="523" t="s">
        <v>389</v>
      </c>
      <c r="H70" s="693" t="s">
        <v>194</v>
      </c>
      <c r="I70" s="695" t="s">
        <v>244</v>
      </c>
      <c r="J70" s="663" t="s">
        <v>253</v>
      </c>
      <c r="K70" s="498" t="s">
        <v>195</v>
      </c>
      <c r="L70" s="483" t="s">
        <v>113</v>
      </c>
      <c r="M70" s="657" t="s">
        <v>341</v>
      </c>
      <c r="N70" s="489" t="s">
        <v>231</v>
      </c>
      <c r="O70" s="176" t="s">
        <v>11</v>
      </c>
      <c r="P70" s="494"/>
      <c r="Q70" s="474"/>
      <c r="R70" s="243" t="s">
        <v>11</v>
      </c>
    </row>
    <row r="71" spans="1:18" ht="15">
      <c r="A71" s="655"/>
      <c r="B71" s="242"/>
      <c r="C71" s="242" t="s">
        <v>6</v>
      </c>
      <c r="D71" s="504"/>
      <c r="E71" s="504"/>
      <c r="F71" s="664"/>
      <c r="G71" s="483"/>
      <c r="H71" s="693"/>
      <c r="I71" s="693"/>
      <c r="J71" s="664"/>
      <c r="K71" s="499"/>
      <c r="L71" s="483"/>
      <c r="M71" s="658"/>
      <c r="N71" s="483"/>
      <c r="O71" s="245" t="s">
        <v>12</v>
      </c>
      <c r="P71" s="494"/>
      <c r="Q71" s="474"/>
      <c r="R71" s="243" t="s">
        <v>14</v>
      </c>
    </row>
    <row r="72" spans="1:18" ht="15">
      <c r="A72" s="241"/>
      <c r="B72" s="242"/>
      <c r="C72" s="242"/>
      <c r="D72" s="504"/>
      <c r="E72" s="504"/>
      <c r="F72" s="664"/>
      <c r="G72" s="483"/>
      <c r="H72" s="693"/>
      <c r="I72" s="693"/>
      <c r="J72" s="664"/>
      <c r="K72" s="499"/>
      <c r="L72" s="483"/>
      <c r="M72" s="658"/>
      <c r="N72" s="483"/>
      <c r="O72" s="245" t="s">
        <v>115</v>
      </c>
      <c r="P72" s="494"/>
      <c r="Q72" s="474"/>
      <c r="R72" s="243" t="s">
        <v>115</v>
      </c>
    </row>
    <row r="73" spans="1:18" ht="72.75" customHeight="1">
      <c r="A73" s="246"/>
      <c r="B73" s="247"/>
      <c r="C73" s="248"/>
      <c r="D73" s="504"/>
      <c r="E73" s="504"/>
      <c r="F73" s="665"/>
      <c r="G73" s="484"/>
      <c r="H73" s="694"/>
      <c r="I73" s="694"/>
      <c r="J73" s="665"/>
      <c r="K73" s="500"/>
      <c r="L73" s="484"/>
      <c r="M73" s="659"/>
      <c r="N73" s="484"/>
      <c r="O73" s="250"/>
      <c r="P73" s="495"/>
      <c r="Q73" s="475"/>
      <c r="R73" s="251"/>
    </row>
    <row r="74" spans="1:19" ht="21.75" customHeight="1">
      <c r="A74" s="252">
        <v>1</v>
      </c>
      <c r="B74" s="243" t="s">
        <v>154</v>
      </c>
      <c r="C74" s="253">
        <v>1</v>
      </c>
      <c r="D74" s="254">
        <v>4800</v>
      </c>
      <c r="E74" s="292">
        <v>17</v>
      </c>
      <c r="F74" s="255">
        <f>(D74*C74+I74+J74)*30%</f>
        <v>1656</v>
      </c>
      <c r="G74" s="255">
        <f>(D74*C74+I74+J74)*5%</f>
        <v>276</v>
      </c>
      <c r="H74" s="255"/>
      <c r="I74" s="255">
        <f>D74*10%</f>
        <v>480</v>
      </c>
      <c r="J74" s="256">
        <f>D74*5%</f>
        <v>240</v>
      </c>
      <c r="K74" s="255"/>
      <c r="L74" s="255"/>
      <c r="M74" s="255"/>
      <c r="N74" s="255"/>
      <c r="O74" s="257">
        <f>D74*C74+F74+G74+H74+I74+K74+L74+M74+N74</f>
        <v>7212</v>
      </c>
      <c r="P74" s="265"/>
      <c r="Q74" s="265">
        <f>O74+P74</f>
        <v>7212</v>
      </c>
      <c r="R74" s="257">
        <f>O74*12</f>
        <v>86544</v>
      </c>
      <c r="S74" s="3">
        <f>D74+I74+J74+D76*C76+I76+J76+D79*C79+D80+D81*C81</f>
        <v>29956</v>
      </c>
    </row>
    <row r="75" spans="1:18" ht="15">
      <c r="A75" s="599">
        <v>2</v>
      </c>
      <c r="B75" s="258" t="s">
        <v>33</v>
      </c>
      <c r="C75" s="259"/>
      <c r="D75" s="260"/>
      <c r="E75" s="687" t="s">
        <v>323</v>
      </c>
      <c r="F75" s="261"/>
      <c r="G75" s="262"/>
      <c r="H75" s="263"/>
      <c r="I75" s="264"/>
      <c r="J75" s="255"/>
      <c r="K75" s="262"/>
      <c r="L75" s="265"/>
      <c r="M75" s="265"/>
      <c r="N75" s="265"/>
      <c r="O75" s="430"/>
      <c r="P75" s="265"/>
      <c r="Q75" s="265"/>
      <c r="R75" s="431"/>
    </row>
    <row r="76" spans="1:18" ht="36.75" customHeight="1">
      <c r="A76" s="669"/>
      <c r="B76" s="267" t="s">
        <v>56</v>
      </c>
      <c r="C76" s="268">
        <v>2.5</v>
      </c>
      <c r="D76" s="226">
        <f>D74*95%</f>
        <v>4560</v>
      </c>
      <c r="E76" s="688"/>
      <c r="F76" s="270">
        <v>1684.41</v>
      </c>
      <c r="G76" s="233">
        <f>(D76*C76+I76+J76)*5%</f>
        <v>604.2</v>
      </c>
      <c r="H76" s="271"/>
      <c r="I76" s="234">
        <f>D76*10%</f>
        <v>456</v>
      </c>
      <c r="J76" s="255">
        <f>D76*5%</f>
        <v>228</v>
      </c>
      <c r="K76" s="233"/>
      <c r="L76" s="234"/>
      <c r="M76" s="234"/>
      <c r="N76" s="234"/>
      <c r="O76" s="432">
        <f>D76*C76+F76+G76+H76+I76+K76+L76+M76+N76</f>
        <v>14144.61</v>
      </c>
      <c r="P76" s="234"/>
      <c r="Q76" s="234">
        <f aca="true" t="shared" si="5" ref="Q76:Q96">O76+P76</f>
        <v>14144.61</v>
      </c>
      <c r="R76" s="271">
        <f aca="true" t="shared" si="6" ref="R76:R97">O76*12</f>
        <v>169735.32</v>
      </c>
    </row>
    <row r="77" spans="1:18" ht="12.75" customHeight="1" hidden="1">
      <c r="A77" s="266"/>
      <c r="B77" s="251"/>
      <c r="C77" s="268"/>
      <c r="D77" s="272"/>
      <c r="E77" s="273"/>
      <c r="F77" s="274"/>
      <c r="G77" s="255">
        <f>(D77*C77+I77)*20%</f>
        <v>0</v>
      </c>
      <c r="H77" s="275"/>
      <c r="I77" s="275"/>
      <c r="J77" s="275"/>
      <c r="K77" s="275"/>
      <c r="L77" s="234"/>
      <c r="M77" s="234"/>
      <c r="N77" s="234"/>
      <c r="O77" s="234">
        <f aca="true" t="shared" si="7" ref="O77:O96">D77*C77+F77+G77+H77+I77+K77+L77+M77+N77</f>
        <v>0</v>
      </c>
      <c r="P77" s="84">
        <f aca="true" t="shared" si="8" ref="P77:P96">3200*C77-(O77-L77-M77-N77)</f>
        <v>0</v>
      </c>
      <c r="Q77" s="84">
        <f t="shared" si="5"/>
        <v>0</v>
      </c>
      <c r="R77" s="234">
        <f t="shared" si="6"/>
        <v>0</v>
      </c>
    </row>
    <row r="78" spans="1:19" ht="15" hidden="1">
      <c r="A78" s="174"/>
      <c r="B78" s="162"/>
      <c r="C78" s="276"/>
      <c r="D78" s="272"/>
      <c r="E78" s="273"/>
      <c r="F78" s="274"/>
      <c r="G78" s="255">
        <f>(D78*C78+I78)*20%</f>
        <v>0</v>
      </c>
      <c r="H78" s="277"/>
      <c r="I78" s="277"/>
      <c r="J78" s="277"/>
      <c r="K78" s="277"/>
      <c r="L78" s="84"/>
      <c r="M78" s="84"/>
      <c r="N78" s="84"/>
      <c r="O78" s="234">
        <f t="shared" si="7"/>
        <v>0</v>
      </c>
      <c r="P78" s="84">
        <f t="shared" si="8"/>
        <v>0</v>
      </c>
      <c r="Q78" s="84">
        <f t="shared" si="5"/>
        <v>0</v>
      </c>
      <c r="R78" s="234">
        <f t="shared" si="6"/>
        <v>0</v>
      </c>
      <c r="S78" s="16">
        <f>SUM(F78+F206+F368+F436)</f>
        <v>1948.6</v>
      </c>
    </row>
    <row r="79" spans="1:18" ht="18" customHeight="1">
      <c r="A79" s="174">
        <v>3</v>
      </c>
      <c r="B79" s="162" t="s">
        <v>34</v>
      </c>
      <c r="C79" s="276">
        <v>0.5</v>
      </c>
      <c r="D79" s="278">
        <v>3392</v>
      </c>
      <c r="E79" s="293">
        <v>12</v>
      </c>
      <c r="F79" s="233">
        <f>D79*C79*20%</f>
        <v>339.20000000000005</v>
      </c>
      <c r="G79" s="255">
        <f>(D79*C79+I79)*5%</f>
        <v>84.80000000000001</v>
      </c>
      <c r="H79" s="277"/>
      <c r="I79" s="277"/>
      <c r="J79" s="277"/>
      <c r="K79" s="277"/>
      <c r="L79" s="84"/>
      <c r="M79" s="84"/>
      <c r="N79" s="84"/>
      <c r="O79" s="234">
        <f>D79*C79+F79+G79+H79+I79+K79+L79+M79+N79</f>
        <v>2120</v>
      </c>
      <c r="P79" s="84"/>
      <c r="Q79" s="84">
        <f t="shared" si="5"/>
        <v>2120</v>
      </c>
      <c r="R79" s="234">
        <f t="shared" si="6"/>
        <v>25440</v>
      </c>
    </row>
    <row r="80" spans="1:19" ht="18" customHeight="1">
      <c r="A80" s="174">
        <v>4</v>
      </c>
      <c r="B80" s="162" t="s">
        <v>21</v>
      </c>
      <c r="C80" s="276">
        <v>1</v>
      </c>
      <c r="D80" s="278">
        <v>3872</v>
      </c>
      <c r="E80" s="293">
        <v>14</v>
      </c>
      <c r="F80" s="233">
        <f>D80*20%</f>
        <v>774.4000000000001</v>
      </c>
      <c r="G80" s="256">
        <f>(D80*C80+I80)*5%</f>
        <v>193.60000000000002</v>
      </c>
      <c r="H80" s="277"/>
      <c r="I80" s="277"/>
      <c r="J80" s="277"/>
      <c r="K80" s="277"/>
      <c r="L80" s="84"/>
      <c r="M80" s="84"/>
      <c r="N80" s="84"/>
      <c r="O80" s="234">
        <f t="shared" si="7"/>
        <v>4840</v>
      </c>
      <c r="P80" s="84"/>
      <c r="Q80" s="84">
        <f t="shared" si="5"/>
        <v>4840</v>
      </c>
      <c r="R80" s="234">
        <f t="shared" si="6"/>
        <v>58080</v>
      </c>
      <c r="S80" s="16"/>
    </row>
    <row r="81" spans="1:18" ht="27" customHeight="1">
      <c r="A81" s="174">
        <v>5</v>
      </c>
      <c r="B81" s="162" t="s">
        <v>32</v>
      </c>
      <c r="C81" s="276">
        <v>2</v>
      </c>
      <c r="D81" s="278">
        <v>3392</v>
      </c>
      <c r="E81" s="294" t="s">
        <v>347</v>
      </c>
      <c r="F81" s="233">
        <v>958.6</v>
      </c>
      <c r="G81" s="256">
        <v>456.2</v>
      </c>
      <c r="H81" s="277"/>
      <c r="I81" s="277"/>
      <c r="J81" s="277"/>
      <c r="K81" s="277"/>
      <c r="L81" s="84"/>
      <c r="M81" s="84"/>
      <c r="N81" s="84"/>
      <c r="O81" s="234">
        <f>D81*C81+F81+G81+H81+I81+K81+L81+M81+N81</f>
        <v>8198.800000000001</v>
      </c>
      <c r="P81" s="84"/>
      <c r="Q81" s="84">
        <f t="shared" si="5"/>
        <v>8198.800000000001</v>
      </c>
      <c r="R81" s="234">
        <f t="shared" si="6"/>
        <v>98385.6</v>
      </c>
    </row>
    <row r="82" spans="1:19" ht="18" customHeight="1">
      <c r="A82" s="174">
        <v>6</v>
      </c>
      <c r="B82" s="162" t="s">
        <v>205</v>
      </c>
      <c r="C82" s="276">
        <v>1</v>
      </c>
      <c r="D82" s="278">
        <v>3392</v>
      </c>
      <c r="E82" s="293">
        <v>12</v>
      </c>
      <c r="F82" s="233">
        <f>D82*10%</f>
        <v>339.20000000000005</v>
      </c>
      <c r="G82" s="84"/>
      <c r="H82" s="84">
        <f>D82*10%</f>
        <v>339.20000000000005</v>
      </c>
      <c r="I82" s="84"/>
      <c r="J82" s="84"/>
      <c r="K82" s="277"/>
      <c r="L82" s="84"/>
      <c r="M82" s="84"/>
      <c r="N82" s="84"/>
      <c r="O82" s="234">
        <f>D82*C82+F82+G82+H82+I82+K82+L82+M82+N82</f>
        <v>4070.3999999999996</v>
      </c>
      <c r="P82" s="84"/>
      <c r="Q82" s="84">
        <f t="shared" si="5"/>
        <v>4070.3999999999996</v>
      </c>
      <c r="R82" s="234">
        <f t="shared" si="6"/>
        <v>48844.799999999996</v>
      </c>
      <c r="S82" s="3">
        <f>D82+H82+D83+D85+D86+D87*C87+D88+D89+D90*C90+D91*C91+D92+D94*C94+D95+D96</f>
        <v>46607.2</v>
      </c>
    </row>
    <row r="83" spans="1:18" ht="18" customHeight="1">
      <c r="A83" s="174">
        <v>7</v>
      </c>
      <c r="B83" s="162" t="s">
        <v>221</v>
      </c>
      <c r="C83" s="276">
        <v>1</v>
      </c>
      <c r="D83" s="278">
        <v>2768</v>
      </c>
      <c r="E83" s="293">
        <v>9</v>
      </c>
      <c r="F83" s="233">
        <f>D83*30%</f>
        <v>830.4</v>
      </c>
      <c r="G83" s="84"/>
      <c r="H83" s="84"/>
      <c r="I83" s="84"/>
      <c r="J83" s="84"/>
      <c r="K83" s="84"/>
      <c r="L83" s="84"/>
      <c r="M83" s="84"/>
      <c r="N83" s="84">
        <f>D83*7%</f>
        <v>193.76000000000002</v>
      </c>
      <c r="O83" s="234">
        <f>D83*C83+F83+G83+H83+I83+K83+L83+M83+N83</f>
        <v>3792.1600000000003</v>
      </c>
      <c r="P83" s="84"/>
      <c r="Q83" s="84">
        <f t="shared" si="5"/>
        <v>3792.1600000000003</v>
      </c>
      <c r="R83" s="234">
        <f t="shared" si="6"/>
        <v>45505.920000000006</v>
      </c>
    </row>
    <row r="84" spans="1:18" ht="18" customHeight="1" hidden="1">
      <c r="A84" s="174">
        <v>8</v>
      </c>
      <c r="B84" s="162" t="s">
        <v>179</v>
      </c>
      <c r="C84" s="276"/>
      <c r="D84" s="278"/>
      <c r="E84" s="293">
        <v>9</v>
      </c>
      <c r="F84" s="84"/>
      <c r="G84" s="84"/>
      <c r="H84" s="84"/>
      <c r="I84" s="84"/>
      <c r="J84" s="84"/>
      <c r="K84" s="84"/>
      <c r="L84" s="84"/>
      <c r="M84" s="84"/>
      <c r="N84" s="84"/>
      <c r="O84" s="234">
        <f t="shared" si="7"/>
        <v>0</v>
      </c>
      <c r="P84" s="84">
        <f t="shared" si="8"/>
        <v>0</v>
      </c>
      <c r="Q84" s="84">
        <f t="shared" si="5"/>
        <v>0</v>
      </c>
      <c r="R84" s="234">
        <f t="shared" si="6"/>
        <v>0</v>
      </c>
    </row>
    <row r="85" spans="1:24" ht="15">
      <c r="A85" s="174">
        <v>8</v>
      </c>
      <c r="B85" s="279" t="s">
        <v>203</v>
      </c>
      <c r="C85" s="276">
        <v>1</v>
      </c>
      <c r="D85" s="278">
        <v>2624</v>
      </c>
      <c r="E85" s="293">
        <v>8</v>
      </c>
      <c r="F85" s="84"/>
      <c r="G85" s="84"/>
      <c r="H85" s="84"/>
      <c r="I85" s="84"/>
      <c r="J85" s="84"/>
      <c r="K85" s="84"/>
      <c r="L85" s="84"/>
      <c r="M85" s="84"/>
      <c r="N85" s="84"/>
      <c r="O85" s="234">
        <f t="shared" si="7"/>
        <v>2624</v>
      </c>
      <c r="P85" s="84">
        <f t="shared" si="8"/>
        <v>576</v>
      </c>
      <c r="Q85" s="84">
        <f t="shared" si="5"/>
        <v>3200</v>
      </c>
      <c r="R85" s="234">
        <f t="shared" si="6"/>
        <v>31488</v>
      </c>
      <c r="X85" s="3">
        <f>D83+D84+D85+D86+D87+D88+D89+D90*C90+D91*C91+D92+D94*C94+D95*C95+D96</f>
        <v>42876</v>
      </c>
    </row>
    <row r="86" spans="1:18" ht="16.5" customHeight="1">
      <c r="A86" s="174">
        <v>9</v>
      </c>
      <c r="B86" s="162" t="s">
        <v>23</v>
      </c>
      <c r="C86" s="276">
        <v>1</v>
      </c>
      <c r="D86" s="278">
        <v>2176</v>
      </c>
      <c r="E86" s="293">
        <v>5</v>
      </c>
      <c r="F86" s="84"/>
      <c r="G86" s="84"/>
      <c r="H86" s="84"/>
      <c r="I86" s="84"/>
      <c r="J86" s="84"/>
      <c r="K86" s="84"/>
      <c r="L86" s="84"/>
      <c r="M86" s="84"/>
      <c r="N86" s="84"/>
      <c r="O86" s="234">
        <f t="shared" si="7"/>
        <v>2176</v>
      </c>
      <c r="P86" s="84">
        <f t="shared" si="8"/>
        <v>1024</v>
      </c>
      <c r="Q86" s="84">
        <f t="shared" si="5"/>
        <v>3200</v>
      </c>
      <c r="R86" s="234">
        <f t="shared" si="6"/>
        <v>26112</v>
      </c>
    </row>
    <row r="87" spans="1:18" ht="16.5" customHeight="1" hidden="1">
      <c r="A87" s="174">
        <v>10</v>
      </c>
      <c r="B87" s="162" t="s">
        <v>24</v>
      </c>
      <c r="C87" s="84"/>
      <c r="D87" s="278"/>
      <c r="E87" s="293">
        <v>4</v>
      </c>
      <c r="F87" s="84"/>
      <c r="G87" s="84"/>
      <c r="H87" s="84"/>
      <c r="I87" s="84"/>
      <c r="J87" s="84"/>
      <c r="K87" s="84"/>
      <c r="L87" s="84"/>
      <c r="M87" s="84"/>
      <c r="N87" s="84"/>
      <c r="O87" s="234">
        <f t="shared" si="7"/>
        <v>0</v>
      </c>
      <c r="P87" s="84">
        <f t="shared" si="8"/>
        <v>0</v>
      </c>
      <c r="Q87" s="84">
        <f t="shared" si="5"/>
        <v>0</v>
      </c>
      <c r="R87" s="234">
        <f t="shared" si="6"/>
        <v>0</v>
      </c>
    </row>
    <row r="88" spans="1:19" ht="42.75">
      <c r="A88" s="174">
        <v>10</v>
      </c>
      <c r="B88" s="280" t="s">
        <v>182</v>
      </c>
      <c r="C88" s="276">
        <v>1</v>
      </c>
      <c r="D88" s="278">
        <v>2032</v>
      </c>
      <c r="E88" s="293">
        <v>4</v>
      </c>
      <c r="F88" s="84"/>
      <c r="G88" s="84"/>
      <c r="H88" s="84"/>
      <c r="I88" s="84"/>
      <c r="J88" s="84"/>
      <c r="K88" s="84"/>
      <c r="L88" s="84"/>
      <c r="M88" s="84"/>
      <c r="N88" s="84"/>
      <c r="O88" s="234">
        <f t="shared" si="7"/>
        <v>2032</v>
      </c>
      <c r="P88" s="84">
        <f t="shared" si="8"/>
        <v>1168</v>
      </c>
      <c r="Q88" s="84">
        <f t="shared" si="5"/>
        <v>3200</v>
      </c>
      <c r="R88" s="234">
        <f t="shared" si="6"/>
        <v>24384</v>
      </c>
      <c r="S88" s="16"/>
    </row>
    <row r="89" spans="1:18" ht="18" customHeight="1">
      <c r="A89" s="174">
        <v>11</v>
      </c>
      <c r="B89" s="162" t="s">
        <v>26</v>
      </c>
      <c r="C89" s="276">
        <v>1</v>
      </c>
      <c r="D89" s="278">
        <v>1600</v>
      </c>
      <c r="E89" s="293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234">
        <f t="shared" si="7"/>
        <v>1600</v>
      </c>
      <c r="P89" s="84">
        <f t="shared" si="8"/>
        <v>1600</v>
      </c>
      <c r="Q89" s="84">
        <f t="shared" si="5"/>
        <v>3200</v>
      </c>
      <c r="R89" s="234">
        <f t="shared" si="6"/>
        <v>19200</v>
      </c>
    </row>
    <row r="90" spans="1:18" ht="17.25" customHeight="1">
      <c r="A90" s="174">
        <v>12</v>
      </c>
      <c r="B90" s="162" t="s">
        <v>27</v>
      </c>
      <c r="C90" s="84">
        <v>2.75</v>
      </c>
      <c r="D90" s="278">
        <v>1744</v>
      </c>
      <c r="E90" s="293">
        <v>2</v>
      </c>
      <c r="F90" s="84"/>
      <c r="G90" s="84"/>
      <c r="H90" s="84"/>
      <c r="I90" s="84"/>
      <c r="J90" s="84"/>
      <c r="K90" s="84"/>
      <c r="L90" s="84"/>
      <c r="M90" s="84">
        <f>D90*40%*2.75</f>
        <v>1918.4</v>
      </c>
      <c r="N90" s="84"/>
      <c r="O90" s="234">
        <f t="shared" si="7"/>
        <v>6714.4</v>
      </c>
      <c r="P90" s="84">
        <f t="shared" si="8"/>
        <v>4004</v>
      </c>
      <c r="Q90" s="84">
        <f t="shared" si="5"/>
        <v>10718.4</v>
      </c>
      <c r="R90" s="234">
        <f>O90*12</f>
        <v>80572.79999999999</v>
      </c>
    </row>
    <row r="91" spans="1:18" ht="28.5">
      <c r="A91" s="174">
        <v>13</v>
      </c>
      <c r="B91" s="281" t="s">
        <v>193</v>
      </c>
      <c r="C91" s="84">
        <v>10</v>
      </c>
      <c r="D91" s="278">
        <v>1744</v>
      </c>
      <c r="E91" s="293">
        <v>2</v>
      </c>
      <c r="F91" s="84"/>
      <c r="G91" s="84"/>
      <c r="H91" s="84"/>
      <c r="I91" s="84"/>
      <c r="J91" s="84"/>
      <c r="K91" s="84"/>
      <c r="L91" s="84">
        <f>D91*5*10%</f>
        <v>872</v>
      </c>
      <c r="M91" s="84"/>
      <c r="N91" s="84"/>
      <c r="O91" s="234">
        <f t="shared" si="7"/>
        <v>18312</v>
      </c>
      <c r="P91" s="84">
        <f t="shared" si="8"/>
        <v>14560</v>
      </c>
      <c r="Q91" s="84">
        <f t="shared" si="5"/>
        <v>32872</v>
      </c>
      <c r="R91" s="234">
        <f t="shared" si="6"/>
        <v>219744</v>
      </c>
    </row>
    <row r="92" spans="1:18" ht="30.75" customHeight="1">
      <c r="A92" s="174">
        <v>14</v>
      </c>
      <c r="B92" s="282" t="s">
        <v>75</v>
      </c>
      <c r="C92" s="276">
        <v>1</v>
      </c>
      <c r="D92" s="278">
        <v>1744</v>
      </c>
      <c r="E92" s="293">
        <v>4</v>
      </c>
      <c r="F92" s="84"/>
      <c r="G92" s="84"/>
      <c r="H92" s="84"/>
      <c r="I92" s="84"/>
      <c r="J92" s="84"/>
      <c r="K92" s="84"/>
      <c r="L92" s="84"/>
      <c r="M92" s="84"/>
      <c r="N92" s="84"/>
      <c r="O92" s="234">
        <f t="shared" si="7"/>
        <v>1744</v>
      </c>
      <c r="P92" s="84">
        <f t="shared" si="8"/>
        <v>1456</v>
      </c>
      <c r="Q92" s="84">
        <f t="shared" si="5"/>
        <v>3200</v>
      </c>
      <c r="R92" s="234">
        <f t="shared" si="6"/>
        <v>20928</v>
      </c>
    </row>
    <row r="93" spans="1:18" ht="18" customHeight="1" hidden="1">
      <c r="A93" s="174"/>
      <c r="B93" s="162"/>
      <c r="C93" s="276"/>
      <c r="D93" s="278"/>
      <c r="E93" s="293"/>
      <c r="F93" s="84"/>
      <c r="G93" s="84"/>
      <c r="H93" s="84"/>
      <c r="I93" s="84"/>
      <c r="J93" s="84"/>
      <c r="K93" s="84"/>
      <c r="L93" s="84"/>
      <c r="M93" s="84"/>
      <c r="N93" s="84"/>
      <c r="O93" s="234">
        <f t="shared" si="7"/>
        <v>0</v>
      </c>
      <c r="P93" s="84">
        <f t="shared" si="8"/>
        <v>0</v>
      </c>
      <c r="Q93" s="84">
        <f t="shared" si="5"/>
        <v>0</v>
      </c>
      <c r="R93" s="234">
        <f t="shared" si="6"/>
        <v>0</v>
      </c>
    </row>
    <row r="94" spans="1:18" ht="18" customHeight="1">
      <c r="A94" s="174">
        <v>15</v>
      </c>
      <c r="B94" s="162" t="s">
        <v>25</v>
      </c>
      <c r="C94" s="276">
        <v>2</v>
      </c>
      <c r="D94" s="278">
        <v>2176</v>
      </c>
      <c r="E94" s="293">
        <v>5</v>
      </c>
      <c r="F94" s="84"/>
      <c r="G94" s="84"/>
      <c r="H94" s="84"/>
      <c r="I94" s="84"/>
      <c r="J94" s="84"/>
      <c r="K94" s="84">
        <f>D94*C94*12%</f>
        <v>522.24</v>
      </c>
      <c r="L94" s="84"/>
      <c r="M94" s="84"/>
      <c r="N94" s="283">
        <f>D94*20%+D94*C94*15%</f>
        <v>1088</v>
      </c>
      <c r="O94" s="234">
        <f>D94*C94+F94+G94+H94+I94+K94+L94+M94+N94</f>
        <v>5962.24</v>
      </c>
      <c r="P94" s="84">
        <f t="shared" si="8"/>
        <v>1525.7600000000002</v>
      </c>
      <c r="Q94" s="84">
        <f t="shared" si="5"/>
        <v>7488</v>
      </c>
      <c r="R94" s="234">
        <f t="shared" si="6"/>
        <v>71546.88</v>
      </c>
    </row>
    <row r="95" spans="1:18" ht="18" customHeight="1">
      <c r="A95" s="174">
        <v>16</v>
      </c>
      <c r="B95" s="162" t="s">
        <v>151</v>
      </c>
      <c r="C95" s="276">
        <v>1</v>
      </c>
      <c r="D95" s="278">
        <v>1600</v>
      </c>
      <c r="E95" s="293">
        <v>1</v>
      </c>
      <c r="F95" s="84"/>
      <c r="G95" s="84"/>
      <c r="H95" s="84"/>
      <c r="I95" s="84"/>
      <c r="J95" s="84"/>
      <c r="K95" s="84">
        <f>D95*C95*12%</f>
        <v>192</v>
      </c>
      <c r="L95" s="84"/>
      <c r="M95" s="84"/>
      <c r="N95" s="283">
        <f>D95*C95*15%</f>
        <v>240</v>
      </c>
      <c r="O95" s="234">
        <f>D95*C95+F95+G95+H95+I95+K95+L95+M95+N95</f>
        <v>2032</v>
      </c>
      <c r="P95" s="84">
        <f t="shared" si="8"/>
        <v>1408</v>
      </c>
      <c r="Q95" s="84">
        <f t="shared" si="5"/>
        <v>3440</v>
      </c>
      <c r="R95" s="234">
        <f t="shared" si="6"/>
        <v>24384</v>
      </c>
    </row>
    <row r="96" spans="1:20" ht="18" customHeight="1">
      <c r="A96" s="174">
        <v>17</v>
      </c>
      <c r="B96" s="162" t="s">
        <v>31</v>
      </c>
      <c r="C96" s="276">
        <v>1</v>
      </c>
      <c r="D96" s="278">
        <v>1744</v>
      </c>
      <c r="E96" s="293">
        <v>2</v>
      </c>
      <c r="F96" s="84"/>
      <c r="G96" s="84"/>
      <c r="H96" s="84"/>
      <c r="I96" s="84"/>
      <c r="J96" s="84"/>
      <c r="K96" s="84"/>
      <c r="L96" s="84"/>
      <c r="M96" s="84"/>
      <c r="N96" s="84"/>
      <c r="O96" s="234">
        <f t="shared" si="7"/>
        <v>1744</v>
      </c>
      <c r="P96" s="84">
        <f t="shared" si="8"/>
        <v>1456</v>
      </c>
      <c r="Q96" s="84">
        <f t="shared" si="5"/>
        <v>3200</v>
      </c>
      <c r="R96" s="234">
        <f t="shared" si="6"/>
        <v>20928</v>
      </c>
      <c r="T96" s="172" t="s">
        <v>287</v>
      </c>
    </row>
    <row r="97" spans="1:20" ht="15">
      <c r="A97" s="162"/>
      <c r="B97" s="281"/>
      <c r="C97" s="84"/>
      <c r="D97" s="84"/>
      <c r="E97" s="295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162">
        <f t="shared" si="6"/>
        <v>0</v>
      </c>
      <c r="T97" s="172">
        <v>3366.32</v>
      </c>
    </row>
    <row r="98" spans="1:23" ht="15">
      <c r="A98" s="162"/>
      <c r="B98" s="162" t="s">
        <v>15</v>
      </c>
      <c r="C98" s="84">
        <f>SUM(C74:C97)</f>
        <v>30.75</v>
      </c>
      <c r="D98" s="296">
        <f>D74+D76*C76+D78+D79*C79+D80+D81*C81+D82+D85+D86+D87+D88*C88+D89+D90*C90+D91*C91+D92+D93*C93+D94*C94+D95+D96+D83+D84</f>
        <v>74820</v>
      </c>
      <c r="E98" s="284"/>
      <c r="F98" s="84">
        <f>SUM(F74:F97)</f>
        <v>6582.21</v>
      </c>
      <c r="G98" s="84">
        <f aca="true" t="shared" si="9" ref="G98:N98">SUM(G74:G97)</f>
        <v>1614.8</v>
      </c>
      <c r="H98" s="84">
        <f t="shared" si="9"/>
        <v>339.20000000000005</v>
      </c>
      <c r="I98" s="84">
        <f t="shared" si="9"/>
        <v>936</v>
      </c>
      <c r="J98" s="84"/>
      <c r="K98" s="84">
        <f t="shared" si="9"/>
        <v>714.24</v>
      </c>
      <c r="L98" s="84">
        <f t="shared" si="9"/>
        <v>872</v>
      </c>
      <c r="M98" s="84">
        <f t="shared" si="9"/>
        <v>1918.4</v>
      </c>
      <c r="N98" s="283">
        <f t="shared" si="9"/>
        <v>1521.76</v>
      </c>
      <c r="O98" s="84">
        <f>SUM(O74:O97)</f>
        <v>89318.61000000002</v>
      </c>
      <c r="P98" s="84">
        <f>SUM(P74:P97)</f>
        <v>28777.760000000002</v>
      </c>
      <c r="Q98" s="84">
        <f>SUM(Q74:Q97)</f>
        <v>118096.37000000001</v>
      </c>
      <c r="R98" s="84">
        <f>SUM(R74:R97)</f>
        <v>1071823.3199999998</v>
      </c>
      <c r="W98" s="16">
        <f>SUM(O84:O96)</f>
        <v>44940.64</v>
      </c>
    </row>
    <row r="99" spans="1:19" ht="15">
      <c r="A99" s="172"/>
      <c r="B99" s="172"/>
      <c r="C99" s="172"/>
      <c r="D99" s="172"/>
      <c r="E99" s="175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6"/>
    </row>
    <row r="100" spans="1:18" ht="49.5" customHeight="1">
      <c r="A100" s="172"/>
      <c r="B100" s="285"/>
      <c r="C100" s="286"/>
      <c r="D100" s="287"/>
      <c r="E100" s="288"/>
      <c r="F100" s="287"/>
      <c r="G100" s="287"/>
      <c r="H100" s="287"/>
      <c r="I100" s="287"/>
      <c r="J100" s="287"/>
      <c r="K100" s="287"/>
      <c r="L100" s="287"/>
      <c r="M100" s="287"/>
      <c r="N100" s="287"/>
      <c r="O100" s="289"/>
      <c r="P100" s="289"/>
      <c r="Q100" s="289"/>
      <c r="R100" s="172"/>
    </row>
    <row r="101" spans="1:22" ht="37.5" customHeight="1">
      <c r="A101" s="198"/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2"/>
      <c r="T101" s="2"/>
      <c r="U101" s="2"/>
      <c r="V101" s="2"/>
    </row>
    <row r="102" spans="1:22" ht="37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18" ht="14.25" customHeight="1">
      <c r="A103" s="172"/>
      <c r="B103" s="172"/>
      <c r="C103" s="200" t="s">
        <v>371</v>
      </c>
      <c r="D103" s="200"/>
      <c r="E103" s="200"/>
      <c r="F103" s="200"/>
      <c r="G103" s="200"/>
      <c r="H103" s="200"/>
      <c r="I103" s="200"/>
      <c r="J103" s="200"/>
      <c r="K103" s="198" t="s">
        <v>372</v>
      </c>
      <c r="L103" s="198"/>
      <c r="M103" s="198"/>
      <c r="N103" s="198"/>
      <c r="O103" s="172"/>
      <c r="P103" s="172"/>
      <c r="Q103" s="172"/>
      <c r="R103" s="172"/>
    </row>
    <row r="104" spans="1:18" ht="18.75">
      <c r="A104" s="198"/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198"/>
      <c r="O104" s="198"/>
      <c r="P104" s="198"/>
      <c r="Q104" s="198"/>
      <c r="R104" s="198"/>
    </row>
    <row r="105" spans="1:18" ht="15">
      <c r="A105" s="469"/>
      <c r="B105" s="469"/>
      <c r="C105" s="469"/>
      <c r="D105" s="469"/>
      <c r="E105" s="469"/>
      <c r="F105" s="469"/>
      <c r="G105" s="469"/>
      <c r="H105" s="469"/>
      <c r="I105" s="469"/>
      <c r="J105" s="469"/>
      <c r="K105" s="469"/>
      <c r="L105" s="469"/>
      <c r="M105" s="469"/>
      <c r="N105" s="469"/>
      <c r="O105" s="469"/>
      <c r="P105" s="469"/>
      <c r="Q105" s="469"/>
      <c r="R105" s="469"/>
    </row>
    <row r="106" spans="1:18" ht="15">
      <c r="A106" s="172"/>
      <c r="B106" s="418" t="s">
        <v>368</v>
      </c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</row>
    <row r="107" spans="2:5" ht="15">
      <c r="B107" s="194">
        <v>42041</v>
      </c>
      <c r="E107" s="3"/>
    </row>
    <row r="108" spans="1:18" ht="15">
      <c r="A108" s="172"/>
      <c r="B108" s="172"/>
      <c r="C108" s="172"/>
      <c r="D108" s="172"/>
      <c r="E108" s="175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</row>
    <row r="109" spans="1:18" ht="15">
      <c r="A109" s="2"/>
      <c r="B109" s="2"/>
      <c r="C109" s="2"/>
      <c r="D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8" ht="15" hidden="1"/>
    <row r="119" ht="15" hidden="1"/>
    <row r="120" ht="15" hidden="1"/>
    <row r="121" ht="15" hidden="1"/>
    <row r="122" ht="15" hidden="1"/>
    <row r="123" ht="20.25">
      <c r="G123" s="196"/>
    </row>
    <row r="124" spans="1:18" ht="15">
      <c r="A124" s="172"/>
      <c r="B124" s="172"/>
      <c r="C124" s="172"/>
      <c r="D124" s="172"/>
      <c r="E124" s="175"/>
      <c r="F124" s="172"/>
      <c r="G124" s="172"/>
      <c r="H124" s="172"/>
      <c r="I124" s="172"/>
      <c r="J124" s="172"/>
      <c r="K124" s="172" t="s">
        <v>311</v>
      </c>
      <c r="L124" s="172"/>
      <c r="M124" s="172"/>
      <c r="N124" s="172"/>
      <c r="O124" s="172"/>
      <c r="P124" s="172"/>
      <c r="Q124" s="172"/>
      <c r="R124" s="172"/>
    </row>
    <row r="125" spans="1:18" ht="15">
      <c r="A125" s="172"/>
      <c r="B125" s="172"/>
      <c r="C125" s="172"/>
      <c r="D125" s="172"/>
      <c r="E125" s="175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</row>
    <row r="126" spans="1:18" ht="15">
      <c r="A126" s="172"/>
      <c r="B126" s="172"/>
      <c r="C126" s="172"/>
      <c r="D126" s="172"/>
      <c r="E126" s="175"/>
      <c r="F126" s="172"/>
      <c r="G126" s="172"/>
      <c r="H126" s="172"/>
      <c r="I126" s="198"/>
      <c r="J126" s="198"/>
      <c r="K126" s="198" t="s">
        <v>363</v>
      </c>
      <c r="L126" s="198"/>
      <c r="M126" s="198"/>
      <c r="N126" s="198"/>
      <c r="O126" s="198"/>
      <c r="P126" s="198"/>
      <c r="Q126" s="198"/>
      <c r="R126" s="198"/>
    </row>
    <row r="127" spans="1:18" ht="16.5">
      <c r="A127" s="172"/>
      <c r="B127" s="459" t="s">
        <v>365</v>
      </c>
      <c r="C127" s="235"/>
      <c r="D127" s="172"/>
      <c r="E127" s="175"/>
      <c r="F127" s="172"/>
      <c r="G127" s="172"/>
      <c r="H127" s="172"/>
      <c r="I127" s="172"/>
      <c r="J127" s="172"/>
      <c r="K127" s="172" t="s">
        <v>405</v>
      </c>
      <c r="L127" s="172"/>
      <c r="M127" s="172"/>
      <c r="N127" s="172"/>
      <c r="O127" s="172"/>
      <c r="P127" s="172"/>
      <c r="Q127" s="172"/>
      <c r="R127" s="172"/>
    </row>
    <row r="128" spans="1:18" ht="36" customHeight="1">
      <c r="A128" s="172"/>
      <c r="B128" s="689" t="s">
        <v>297</v>
      </c>
      <c r="C128" s="689"/>
      <c r="D128" s="689"/>
      <c r="E128" s="689"/>
      <c r="F128" s="689"/>
      <c r="G128" s="689"/>
      <c r="H128" s="689"/>
      <c r="I128" s="172"/>
      <c r="J128" s="172"/>
      <c r="K128" s="172" t="s">
        <v>406</v>
      </c>
      <c r="L128" s="172"/>
      <c r="M128" s="172"/>
      <c r="N128" s="172"/>
      <c r="O128" s="172"/>
      <c r="P128" s="172"/>
      <c r="Q128" s="172"/>
      <c r="R128" s="172"/>
    </row>
    <row r="129" spans="1:18" ht="15">
      <c r="A129" s="172"/>
      <c r="B129" s="172" t="s">
        <v>16</v>
      </c>
      <c r="C129" s="172"/>
      <c r="D129" s="172"/>
      <c r="E129" s="175"/>
      <c r="F129" s="172"/>
      <c r="G129" s="172"/>
      <c r="H129" s="172"/>
      <c r="I129" s="176"/>
      <c r="J129" s="176"/>
      <c r="K129" s="176"/>
      <c r="L129" s="176"/>
      <c r="M129" s="176"/>
      <c r="N129" s="176"/>
      <c r="O129" s="176"/>
      <c r="P129" s="176"/>
      <c r="Q129" s="176"/>
      <c r="R129" s="172"/>
    </row>
    <row r="130" spans="1:18" ht="15">
      <c r="A130" s="172"/>
      <c r="B130" s="172"/>
      <c r="C130" s="172"/>
      <c r="D130" s="172"/>
      <c r="E130" s="175"/>
      <c r="F130" s="172"/>
      <c r="G130" s="172"/>
      <c r="H130" s="172"/>
      <c r="I130" s="176"/>
      <c r="J130" s="176"/>
      <c r="K130" s="176"/>
      <c r="L130" s="176"/>
      <c r="M130" s="176"/>
      <c r="N130" s="176"/>
      <c r="O130" s="176"/>
      <c r="P130" s="176"/>
      <c r="Q130" s="176"/>
      <c r="R130" s="172"/>
    </row>
    <row r="131" spans="1:18" ht="15">
      <c r="A131" s="172"/>
      <c r="B131" s="172"/>
      <c r="C131" s="297"/>
      <c r="D131" s="172"/>
      <c r="E131" s="175"/>
      <c r="F131" s="172"/>
      <c r="G131" s="172"/>
      <c r="H131" s="172"/>
      <c r="I131" s="176"/>
      <c r="J131" s="176"/>
      <c r="K131" s="176"/>
      <c r="L131" s="176"/>
      <c r="M131" s="176"/>
      <c r="N131" s="176"/>
      <c r="O131" s="176"/>
      <c r="P131" s="176"/>
      <c r="Q131" s="176"/>
      <c r="R131" s="172"/>
    </row>
    <row r="132" spans="1:18" ht="15">
      <c r="A132" s="172"/>
      <c r="B132" s="172"/>
      <c r="C132" s="172"/>
      <c r="D132" s="172"/>
      <c r="E132" s="175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</row>
    <row r="133" spans="1:18" ht="12.75" customHeight="1">
      <c r="A133" s="654" t="s">
        <v>1</v>
      </c>
      <c r="B133" s="236" t="s">
        <v>2</v>
      </c>
      <c r="C133" s="237" t="s">
        <v>4</v>
      </c>
      <c r="D133" s="504" t="s">
        <v>321</v>
      </c>
      <c r="E133" s="504" t="s">
        <v>322</v>
      </c>
      <c r="F133" s="600" t="s">
        <v>7</v>
      </c>
      <c r="G133" s="600"/>
      <c r="H133" s="600"/>
      <c r="I133" s="600"/>
      <c r="J133" s="600"/>
      <c r="K133" s="600"/>
      <c r="L133" s="239" t="s">
        <v>8</v>
      </c>
      <c r="M133" s="239"/>
      <c r="N133" s="239"/>
      <c r="O133" s="240" t="s">
        <v>10</v>
      </c>
      <c r="P133" s="493" t="s">
        <v>339</v>
      </c>
      <c r="Q133" s="473" t="s">
        <v>340</v>
      </c>
      <c r="R133" s="237" t="s">
        <v>13</v>
      </c>
    </row>
    <row r="134" spans="1:18" ht="12.75" customHeight="1">
      <c r="A134" s="655"/>
      <c r="B134" s="242" t="s">
        <v>3</v>
      </c>
      <c r="C134" s="242" t="s">
        <v>5</v>
      </c>
      <c r="D134" s="504"/>
      <c r="E134" s="504"/>
      <c r="F134" s="691" t="s">
        <v>18</v>
      </c>
      <c r="G134" s="523" t="s">
        <v>389</v>
      </c>
      <c r="H134" s="692" t="s">
        <v>318</v>
      </c>
      <c r="I134" s="599"/>
      <c r="J134" s="663" t="s">
        <v>253</v>
      </c>
      <c r="K134" s="498" t="s">
        <v>195</v>
      </c>
      <c r="L134" s="483" t="s">
        <v>113</v>
      </c>
      <c r="M134" s="657" t="s">
        <v>341</v>
      </c>
      <c r="N134" s="690" t="s">
        <v>232</v>
      </c>
      <c r="O134" s="176" t="s">
        <v>11</v>
      </c>
      <c r="P134" s="494"/>
      <c r="Q134" s="474"/>
      <c r="R134" s="243" t="s">
        <v>11</v>
      </c>
    </row>
    <row r="135" spans="1:18" ht="15">
      <c r="A135" s="655"/>
      <c r="B135" s="242"/>
      <c r="C135" s="242" t="s">
        <v>6</v>
      </c>
      <c r="D135" s="504"/>
      <c r="E135" s="504"/>
      <c r="F135" s="691"/>
      <c r="G135" s="483"/>
      <c r="H135" s="692"/>
      <c r="I135" s="702"/>
      <c r="J135" s="664"/>
      <c r="K135" s="499"/>
      <c r="L135" s="483"/>
      <c r="M135" s="658"/>
      <c r="N135" s="690"/>
      <c r="O135" s="245" t="s">
        <v>12</v>
      </c>
      <c r="P135" s="494"/>
      <c r="Q135" s="474"/>
      <c r="R135" s="243" t="s">
        <v>14</v>
      </c>
    </row>
    <row r="136" spans="1:18" ht="15">
      <c r="A136" s="241"/>
      <c r="B136" s="242"/>
      <c r="C136" s="242"/>
      <c r="D136" s="504"/>
      <c r="E136" s="504"/>
      <c r="F136" s="691"/>
      <c r="G136" s="483"/>
      <c r="H136" s="692"/>
      <c r="I136" s="702"/>
      <c r="J136" s="664"/>
      <c r="K136" s="499"/>
      <c r="L136" s="483"/>
      <c r="M136" s="658"/>
      <c r="N136" s="690"/>
      <c r="O136" s="245" t="s">
        <v>115</v>
      </c>
      <c r="P136" s="494"/>
      <c r="Q136" s="474"/>
      <c r="R136" s="243" t="s">
        <v>115</v>
      </c>
    </row>
    <row r="137" spans="1:18" ht="77.25" customHeight="1">
      <c r="A137" s="246"/>
      <c r="B137" s="247"/>
      <c r="C137" s="248"/>
      <c r="D137" s="504"/>
      <c r="E137" s="504"/>
      <c r="F137" s="691"/>
      <c r="G137" s="484"/>
      <c r="H137" s="692"/>
      <c r="I137" s="669"/>
      <c r="J137" s="665"/>
      <c r="K137" s="500"/>
      <c r="L137" s="484"/>
      <c r="M137" s="659"/>
      <c r="N137" s="690"/>
      <c r="O137" s="250"/>
      <c r="P137" s="495"/>
      <c r="Q137" s="475"/>
      <c r="R137" s="251"/>
    </row>
    <row r="138" spans="1:19" ht="15">
      <c r="A138" s="266">
        <v>1</v>
      </c>
      <c r="B138" s="251" t="s">
        <v>152</v>
      </c>
      <c r="C138" s="268">
        <v>1</v>
      </c>
      <c r="D138" s="278">
        <v>4464</v>
      </c>
      <c r="E138" s="302">
        <v>16</v>
      </c>
      <c r="F138" s="233">
        <f>D138*30%</f>
        <v>1339.2</v>
      </c>
      <c r="G138" s="233">
        <f>(D138*C138+I138+J138+H138)*5%</f>
        <v>223.20000000000002</v>
      </c>
      <c r="H138" s="233"/>
      <c r="I138" s="233"/>
      <c r="J138" s="233"/>
      <c r="K138" s="233"/>
      <c r="L138" s="233"/>
      <c r="M138" s="233"/>
      <c r="N138" s="233"/>
      <c r="O138" s="234">
        <f>D138*C138+F138+G138+H138+I138+K138+L138+M138+N138+J138</f>
        <v>6026.4</v>
      </c>
      <c r="P138" s="234"/>
      <c r="Q138" s="234">
        <f>O138+P138</f>
        <v>6026.4</v>
      </c>
      <c r="R138" s="234">
        <f>O138*12</f>
        <v>72316.79999999999</v>
      </c>
      <c r="S138" s="3">
        <f>D138+D139+D140*C140+D141+D142*C142+D143+D144</f>
        <v>17304.8</v>
      </c>
    </row>
    <row r="139" spans="1:19" ht="57" customHeight="1">
      <c r="A139" s="174">
        <v>2</v>
      </c>
      <c r="B139" s="280" t="s">
        <v>94</v>
      </c>
      <c r="C139" s="276">
        <v>1.5</v>
      </c>
      <c r="D139" s="226">
        <f>D138*95%</f>
        <v>4240.8</v>
      </c>
      <c r="E139" s="227" t="s">
        <v>323</v>
      </c>
      <c r="F139" s="233">
        <f>D139*C139*25%</f>
        <v>1590.3000000000002</v>
      </c>
      <c r="G139" s="233">
        <f>(D139*C139+I139+J139+H139)*5%</f>
        <v>318.06000000000006</v>
      </c>
      <c r="H139" s="233"/>
      <c r="I139" s="84"/>
      <c r="J139" s="233"/>
      <c r="K139" s="84"/>
      <c r="L139" s="84"/>
      <c r="M139" s="84"/>
      <c r="N139" s="84"/>
      <c r="O139" s="234">
        <f aca="true" t="shared" si="10" ref="O139:O158">D139*C139+F139+G139+H139+I139+K139+L139+M139+N139+J139</f>
        <v>8269.560000000001</v>
      </c>
      <c r="P139" s="234"/>
      <c r="Q139" s="234">
        <f aca="true" t="shared" si="11" ref="Q139:Q158">O139+P139</f>
        <v>8269.560000000001</v>
      </c>
      <c r="R139" s="234">
        <f aca="true" t="shared" si="12" ref="R139:R158">O139*12</f>
        <v>99234.72000000002</v>
      </c>
      <c r="S139" s="16"/>
    </row>
    <row r="140" spans="1:19" ht="53.25" customHeight="1" hidden="1">
      <c r="A140" s="174"/>
      <c r="B140" s="280"/>
      <c r="C140" s="276"/>
      <c r="D140" s="301"/>
      <c r="E140" s="227"/>
      <c r="F140" s="233">
        <f>D140*20%*0.5</f>
        <v>0</v>
      </c>
      <c r="G140" s="233"/>
      <c r="H140" s="233"/>
      <c r="I140" s="84"/>
      <c r="J140" s="233"/>
      <c r="K140" s="84"/>
      <c r="L140" s="84"/>
      <c r="M140" s="84"/>
      <c r="N140" s="84"/>
      <c r="O140" s="234">
        <f t="shared" si="10"/>
        <v>0</v>
      </c>
      <c r="P140" s="234"/>
      <c r="Q140" s="234">
        <f t="shared" si="11"/>
        <v>0</v>
      </c>
      <c r="R140" s="234">
        <f t="shared" si="12"/>
        <v>0</v>
      </c>
      <c r="S140" s="16"/>
    </row>
    <row r="141" spans="1:18" ht="29.25" customHeight="1" hidden="1">
      <c r="A141" s="174"/>
      <c r="B141" s="280"/>
      <c r="C141" s="276"/>
      <c r="D141" s="226"/>
      <c r="E141" s="302"/>
      <c r="F141" s="233">
        <f>D141*C141*20%</f>
        <v>0</v>
      </c>
      <c r="G141" s="233"/>
      <c r="H141" s="233"/>
      <c r="I141" s="84"/>
      <c r="J141" s="233"/>
      <c r="K141" s="84"/>
      <c r="L141" s="84"/>
      <c r="M141" s="84"/>
      <c r="N141" s="84"/>
      <c r="O141" s="234">
        <f t="shared" si="10"/>
        <v>0</v>
      </c>
      <c r="P141" s="234"/>
      <c r="Q141" s="234">
        <f t="shared" si="11"/>
        <v>0</v>
      </c>
      <c r="R141" s="234">
        <f t="shared" si="12"/>
        <v>0</v>
      </c>
    </row>
    <row r="142" spans="1:18" ht="18.75" customHeight="1">
      <c r="A142" s="174">
        <v>3</v>
      </c>
      <c r="B142" s="162" t="s">
        <v>293</v>
      </c>
      <c r="C142" s="276">
        <v>0.5</v>
      </c>
      <c r="D142" s="278">
        <v>3152</v>
      </c>
      <c r="E142" s="302">
        <v>11</v>
      </c>
      <c r="F142" s="233">
        <f>D142*10%*C142</f>
        <v>157.60000000000002</v>
      </c>
      <c r="G142" s="233">
        <f>(D142*C142+I142+J142+H142)*5%</f>
        <v>78.80000000000001</v>
      </c>
      <c r="H142" s="233"/>
      <c r="I142" s="84"/>
      <c r="J142" s="233"/>
      <c r="K142" s="84"/>
      <c r="L142" s="84"/>
      <c r="M142" s="84"/>
      <c r="N142" s="84"/>
      <c r="O142" s="234">
        <f t="shared" si="10"/>
        <v>1812.3999999999999</v>
      </c>
      <c r="P142" s="234"/>
      <c r="Q142" s="234">
        <f t="shared" si="11"/>
        <v>1812.3999999999999</v>
      </c>
      <c r="R142" s="234">
        <f t="shared" si="12"/>
        <v>21748.8</v>
      </c>
    </row>
    <row r="143" spans="1:18" ht="18" customHeight="1">
      <c r="A143" s="174">
        <v>4</v>
      </c>
      <c r="B143" s="162" t="s">
        <v>21</v>
      </c>
      <c r="C143" s="276">
        <v>1</v>
      </c>
      <c r="D143" s="278">
        <v>3872</v>
      </c>
      <c r="E143" s="302">
        <v>14</v>
      </c>
      <c r="F143" s="233">
        <f>D143*30%</f>
        <v>1161.6</v>
      </c>
      <c r="G143" s="233">
        <f>(D143*C143+I143+J143+H143)*5%</f>
        <v>193.60000000000002</v>
      </c>
      <c r="H143" s="233"/>
      <c r="I143" s="84"/>
      <c r="J143" s="233"/>
      <c r="K143" s="84"/>
      <c r="L143" s="84"/>
      <c r="M143" s="84"/>
      <c r="N143" s="84"/>
      <c r="O143" s="234">
        <f t="shared" si="10"/>
        <v>5227.200000000001</v>
      </c>
      <c r="P143" s="234"/>
      <c r="Q143" s="234">
        <f t="shared" si="11"/>
        <v>5227.200000000001</v>
      </c>
      <c r="R143" s="234">
        <f t="shared" si="12"/>
        <v>62726.40000000001</v>
      </c>
    </row>
    <row r="144" spans="1:18" ht="15">
      <c r="A144" s="174">
        <v>5</v>
      </c>
      <c r="B144" s="162" t="s">
        <v>32</v>
      </c>
      <c r="C144" s="276">
        <v>1</v>
      </c>
      <c r="D144" s="278">
        <v>3152</v>
      </c>
      <c r="E144" s="302">
        <v>11</v>
      </c>
      <c r="F144" s="233">
        <f>D144*10%</f>
        <v>315.20000000000005</v>
      </c>
      <c r="G144" s="233">
        <f>(D144*C144+I144+J144+H144)*5%</f>
        <v>157.60000000000002</v>
      </c>
      <c r="H144" s="233"/>
      <c r="I144" s="84"/>
      <c r="J144" s="233"/>
      <c r="K144" s="84"/>
      <c r="L144" s="84"/>
      <c r="M144" s="84"/>
      <c r="N144" s="84"/>
      <c r="O144" s="234">
        <f t="shared" si="10"/>
        <v>3624.7999999999997</v>
      </c>
      <c r="P144" s="234"/>
      <c r="Q144" s="234">
        <f t="shared" si="11"/>
        <v>3624.7999999999997</v>
      </c>
      <c r="R144" s="234">
        <f t="shared" si="12"/>
        <v>43497.6</v>
      </c>
    </row>
    <row r="145" spans="1:19" ht="17.25" customHeight="1">
      <c r="A145" s="174">
        <v>6</v>
      </c>
      <c r="B145" s="162" t="s">
        <v>398</v>
      </c>
      <c r="C145" s="276">
        <v>0.5</v>
      </c>
      <c r="D145" s="278">
        <v>3152</v>
      </c>
      <c r="E145" s="302">
        <v>11</v>
      </c>
      <c r="F145" s="233">
        <f>D145*30%*C145</f>
        <v>472.79999999999995</v>
      </c>
      <c r="G145" s="84"/>
      <c r="H145" s="233">
        <f>D145*10%*C145</f>
        <v>157.60000000000002</v>
      </c>
      <c r="I145" s="84"/>
      <c r="J145" s="84"/>
      <c r="K145" s="84"/>
      <c r="L145" s="84"/>
      <c r="M145" s="84"/>
      <c r="N145" s="84"/>
      <c r="O145" s="234">
        <f>D145*C145+F145+G145+H145+I145+K145+L145+M145+N145+J145</f>
        <v>2206.4</v>
      </c>
      <c r="P145" s="234"/>
      <c r="Q145" s="234">
        <f t="shared" si="11"/>
        <v>2206.4</v>
      </c>
      <c r="R145" s="234">
        <f t="shared" si="12"/>
        <v>26476.800000000003</v>
      </c>
      <c r="S145" s="3">
        <f>D145*C145+H145+D146+N146+D148+D149+D150*C150+N152+N153+D151*C151+D152*C152+D153+D154*C154+D155+D157*C157+D158</f>
        <v>37378.08</v>
      </c>
    </row>
    <row r="146" spans="1:18" ht="17.25" customHeight="1">
      <c r="A146" s="174">
        <v>7</v>
      </c>
      <c r="B146" s="162" t="s">
        <v>221</v>
      </c>
      <c r="C146" s="276">
        <v>1</v>
      </c>
      <c r="D146" s="278">
        <v>2464</v>
      </c>
      <c r="E146" s="302">
        <v>7</v>
      </c>
      <c r="F146" s="233">
        <f>D146*C146*30%</f>
        <v>739.1999999999999</v>
      </c>
      <c r="G146" s="84"/>
      <c r="H146" s="84"/>
      <c r="I146" s="84"/>
      <c r="J146" s="84"/>
      <c r="K146" s="84"/>
      <c r="L146" s="84"/>
      <c r="M146" s="84"/>
      <c r="N146" s="84">
        <f>D146*7%</f>
        <v>172.48000000000002</v>
      </c>
      <c r="O146" s="234">
        <f t="shared" si="10"/>
        <v>3375.68</v>
      </c>
      <c r="P146" s="234"/>
      <c r="Q146" s="234">
        <f t="shared" si="11"/>
        <v>3375.68</v>
      </c>
      <c r="R146" s="234">
        <f t="shared" si="12"/>
        <v>40508.159999999996</v>
      </c>
    </row>
    <row r="147" spans="1:18" ht="17.25" customHeight="1" hidden="1">
      <c r="A147" s="174">
        <v>10</v>
      </c>
      <c r="B147" s="162" t="s">
        <v>179</v>
      </c>
      <c r="C147" s="276"/>
      <c r="D147" s="278"/>
      <c r="E147" s="302">
        <v>9</v>
      </c>
      <c r="F147" s="84"/>
      <c r="G147" s="84"/>
      <c r="H147" s="84"/>
      <c r="I147" s="84"/>
      <c r="J147" s="84"/>
      <c r="K147" s="84"/>
      <c r="L147" s="84"/>
      <c r="M147" s="84"/>
      <c r="N147" s="84"/>
      <c r="O147" s="234">
        <f t="shared" si="10"/>
        <v>0</v>
      </c>
      <c r="P147" s="234">
        <f aca="true" t="shared" si="13" ref="P147:P158">3200*C147-(O147-L147-M147-N147)</f>
        <v>0</v>
      </c>
      <c r="Q147" s="234">
        <f t="shared" si="11"/>
        <v>0</v>
      </c>
      <c r="R147" s="234">
        <f t="shared" si="12"/>
        <v>0</v>
      </c>
    </row>
    <row r="148" spans="1:23" ht="26.25" customHeight="1">
      <c r="A148" s="174">
        <v>8</v>
      </c>
      <c r="B148" s="279" t="s">
        <v>203</v>
      </c>
      <c r="C148" s="276">
        <v>1</v>
      </c>
      <c r="D148" s="278">
        <v>2624</v>
      </c>
      <c r="E148" s="302">
        <v>8</v>
      </c>
      <c r="F148" s="84"/>
      <c r="G148" s="84"/>
      <c r="H148" s="84"/>
      <c r="I148" s="84"/>
      <c r="J148" s="84"/>
      <c r="K148" s="84"/>
      <c r="L148" s="84"/>
      <c r="M148" s="84"/>
      <c r="N148" s="84"/>
      <c r="O148" s="234">
        <f t="shared" si="10"/>
        <v>2624</v>
      </c>
      <c r="P148" s="234">
        <f t="shared" si="13"/>
        <v>576</v>
      </c>
      <c r="Q148" s="234">
        <f t="shared" si="11"/>
        <v>3200</v>
      </c>
      <c r="R148" s="234">
        <f t="shared" si="12"/>
        <v>31488</v>
      </c>
      <c r="W148" s="3">
        <f>D146+D147+D148+D149+D150*C150+D151*C151+D152*C152+D153+D154*C154+D155+D157</f>
        <v>33632</v>
      </c>
    </row>
    <row r="149" spans="1:18" ht="42.75">
      <c r="A149" s="174">
        <v>9</v>
      </c>
      <c r="B149" s="280" t="s">
        <v>182</v>
      </c>
      <c r="C149" s="276">
        <v>1</v>
      </c>
      <c r="D149" s="278">
        <v>2032</v>
      </c>
      <c r="E149" s="302">
        <v>4</v>
      </c>
      <c r="F149" s="84"/>
      <c r="G149" s="84"/>
      <c r="H149" s="84"/>
      <c r="I149" s="84"/>
      <c r="J149" s="84"/>
      <c r="K149" s="84"/>
      <c r="L149" s="84"/>
      <c r="M149" s="84"/>
      <c r="N149" s="84"/>
      <c r="O149" s="234">
        <f t="shared" si="10"/>
        <v>2032</v>
      </c>
      <c r="P149" s="234">
        <f t="shared" si="13"/>
        <v>1168</v>
      </c>
      <c r="Q149" s="234">
        <f t="shared" si="11"/>
        <v>3200</v>
      </c>
      <c r="R149" s="234">
        <f t="shared" si="12"/>
        <v>24384</v>
      </c>
    </row>
    <row r="150" spans="1:18" ht="17.25" customHeight="1">
      <c r="A150" s="174">
        <v>10</v>
      </c>
      <c r="B150" s="162" t="s">
        <v>27</v>
      </c>
      <c r="C150" s="84">
        <v>2.75</v>
      </c>
      <c r="D150" s="278">
        <v>1744</v>
      </c>
      <c r="E150" s="302">
        <v>2</v>
      </c>
      <c r="F150" s="84"/>
      <c r="G150" s="84"/>
      <c r="H150" s="84"/>
      <c r="I150" s="84"/>
      <c r="J150" s="84"/>
      <c r="K150" s="84"/>
      <c r="L150" s="84"/>
      <c r="M150" s="84">
        <f>D150*40%*C150</f>
        <v>1918.4</v>
      </c>
      <c r="N150" s="84"/>
      <c r="O150" s="234">
        <f t="shared" si="10"/>
        <v>6714.4</v>
      </c>
      <c r="P150" s="234">
        <f t="shared" si="13"/>
        <v>4004</v>
      </c>
      <c r="Q150" s="234">
        <f t="shared" si="11"/>
        <v>10718.4</v>
      </c>
      <c r="R150" s="234">
        <f t="shared" si="12"/>
        <v>80572.79999999999</v>
      </c>
    </row>
    <row r="151" spans="1:19" ht="30.75" customHeight="1">
      <c r="A151" s="174">
        <v>11</v>
      </c>
      <c r="B151" s="281" t="s">
        <v>193</v>
      </c>
      <c r="C151" s="276">
        <v>6.5</v>
      </c>
      <c r="D151" s="278">
        <v>1744</v>
      </c>
      <c r="E151" s="302">
        <v>2</v>
      </c>
      <c r="F151" s="84"/>
      <c r="G151" s="84"/>
      <c r="H151" s="84"/>
      <c r="I151" s="84"/>
      <c r="J151" s="84"/>
      <c r="K151" s="84"/>
      <c r="L151" s="84">
        <f>SUM(D151*7*10%)</f>
        <v>1220.8</v>
      </c>
      <c r="M151" s="84"/>
      <c r="N151" s="84"/>
      <c r="O151" s="234">
        <f t="shared" si="10"/>
        <v>12556.8</v>
      </c>
      <c r="P151" s="234">
        <f t="shared" si="13"/>
        <v>9464</v>
      </c>
      <c r="Q151" s="234">
        <f t="shared" si="11"/>
        <v>22020.8</v>
      </c>
      <c r="R151" s="234">
        <f t="shared" si="12"/>
        <v>150681.59999999998</v>
      </c>
      <c r="S151" s="16"/>
    </row>
    <row r="152" spans="1:18" ht="17.25" customHeight="1">
      <c r="A152" s="174">
        <v>12</v>
      </c>
      <c r="B152" s="162" t="s">
        <v>25</v>
      </c>
      <c r="C152" s="276">
        <v>2</v>
      </c>
      <c r="D152" s="278">
        <v>2176</v>
      </c>
      <c r="E152" s="302">
        <v>5</v>
      </c>
      <c r="F152" s="84"/>
      <c r="G152" s="84"/>
      <c r="H152" s="84"/>
      <c r="I152" s="84"/>
      <c r="J152" s="84"/>
      <c r="K152" s="84">
        <f>D152*C152*12%</f>
        <v>522.24</v>
      </c>
      <c r="L152" s="84"/>
      <c r="M152" s="84"/>
      <c r="N152" s="283">
        <f>D152*20%+D152*C152*15%</f>
        <v>1088</v>
      </c>
      <c r="O152" s="234">
        <f t="shared" si="10"/>
        <v>5962.24</v>
      </c>
      <c r="P152" s="234">
        <f t="shared" si="13"/>
        <v>1525.7600000000002</v>
      </c>
      <c r="Q152" s="234">
        <f t="shared" si="11"/>
        <v>7488</v>
      </c>
      <c r="R152" s="234">
        <f t="shared" si="12"/>
        <v>71546.88</v>
      </c>
    </row>
    <row r="153" spans="1:18" ht="17.25" customHeight="1">
      <c r="A153" s="174">
        <v>13</v>
      </c>
      <c r="B153" s="162" t="s">
        <v>151</v>
      </c>
      <c r="C153" s="276">
        <v>1</v>
      </c>
      <c r="D153" s="278">
        <v>1600</v>
      </c>
      <c r="E153" s="302">
        <v>1</v>
      </c>
      <c r="F153" s="84"/>
      <c r="G153" s="84"/>
      <c r="H153" s="84"/>
      <c r="I153" s="84"/>
      <c r="J153" s="84"/>
      <c r="K153" s="84">
        <f>D153*C153*12%</f>
        <v>192</v>
      </c>
      <c r="L153" s="84"/>
      <c r="M153" s="84"/>
      <c r="N153" s="283">
        <f>D153*C153*15%</f>
        <v>240</v>
      </c>
      <c r="O153" s="234">
        <f t="shared" si="10"/>
        <v>2032</v>
      </c>
      <c r="P153" s="234">
        <f t="shared" si="13"/>
        <v>1408</v>
      </c>
      <c r="Q153" s="234">
        <f t="shared" si="11"/>
        <v>3440</v>
      </c>
      <c r="R153" s="234">
        <f>O153*12</f>
        <v>24384</v>
      </c>
    </row>
    <row r="154" spans="1:18" ht="17.25" customHeight="1">
      <c r="A154" s="174">
        <v>14</v>
      </c>
      <c r="B154" s="162" t="s">
        <v>24</v>
      </c>
      <c r="C154" s="84">
        <v>0.25</v>
      </c>
      <c r="D154" s="278">
        <v>2032</v>
      </c>
      <c r="E154" s="302">
        <v>4</v>
      </c>
      <c r="F154" s="84"/>
      <c r="G154" s="84"/>
      <c r="H154" s="84"/>
      <c r="I154" s="84"/>
      <c r="J154" s="84"/>
      <c r="K154" s="84"/>
      <c r="L154" s="84"/>
      <c r="M154" s="84"/>
      <c r="N154" s="283"/>
      <c r="O154" s="234">
        <f t="shared" si="10"/>
        <v>508</v>
      </c>
      <c r="P154" s="234">
        <f t="shared" si="13"/>
        <v>292</v>
      </c>
      <c r="Q154" s="234">
        <f t="shared" si="11"/>
        <v>800</v>
      </c>
      <c r="R154" s="234">
        <f t="shared" si="12"/>
        <v>6096</v>
      </c>
    </row>
    <row r="155" spans="1:18" ht="17.25" customHeight="1">
      <c r="A155" s="174">
        <v>15</v>
      </c>
      <c r="B155" s="162" t="s">
        <v>31</v>
      </c>
      <c r="C155" s="276">
        <v>1</v>
      </c>
      <c r="D155" s="278">
        <v>1744</v>
      </c>
      <c r="E155" s="302">
        <v>2</v>
      </c>
      <c r="F155" s="84"/>
      <c r="G155" s="84"/>
      <c r="H155" s="84"/>
      <c r="I155" s="84"/>
      <c r="J155" s="84"/>
      <c r="K155" s="84"/>
      <c r="L155" s="84"/>
      <c r="M155" s="84"/>
      <c r="N155" s="283"/>
      <c r="O155" s="234">
        <f t="shared" si="10"/>
        <v>1744</v>
      </c>
      <c r="P155" s="234">
        <f t="shared" si="13"/>
        <v>1456</v>
      </c>
      <c r="Q155" s="234">
        <f t="shared" si="11"/>
        <v>3200</v>
      </c>
      <c r="R155" s="234">
        <f t="shared" si="12"/>
        <v>20928</v>
      </c>
    </row>
    <row r="156" spans="1:18" ht="15" customHeight="1" hidden="1">
      <c r="A156" s="174"/>
      <c r="B156" s="162"/>
      <c r="C156" s="276"/>
      <c r="D156" s="300"/>
      <c r="E156" s="302"/>
      <c r="F156" s="84"/>
      <c r="G156" s="84"/>
      <c r="H156" s="84"/>
      <c r="I156" s="84"/>
      <c r="J156" s="84"/>
      <c r="K156" s="84"/>
      <c r="L156" s="84"/>
      <c r="M156" s="84"/>
      <c r="N156" s="283"/>
      <c r="O156" s="234">
        <f t="shared" si="10"/>
        <v>0</v>
      </c>
      <c r="P156" s="234">
        <f t="shared" si="13"/>
        <v>0</v>
      </c>
      <c r="Q156" s="234">
        <f t="shared" si="11"/>
        <v>0</v>
      </c>
      <c r="R156" s="234">
        <f t="shared" si="12"/>
        <v>0</v>
      </c>
    </row>
    <row r="157" spans="1:18" ht="17.25" customHeight="1">
      <c r="A157" s="174">
        <v>16</v>
      </c>
      <c r="B157" s="162" t="s">
        <v>23</v>
      </c>
      <c r="C157" s="84">
        <v>0.5</v>
      </c>
      <c r="D157" s="300">
        <v>2176</v>
      </c>
      <c r="E157" s="302">
        <v>5</v>
      </c>
      <c r="F157" s="84"/>
      <c r="G157" s="84"/>
      <c r="H157" s="84"/>
      <c r="I157" s="84"/>
      <c r="J157" s="84"/>
      <c r="K157" s="84"/>
      <c r="L157" s="84"/>
      <c r="M157" s="84"/>
      <c r="N157" s="283"/>
      <c r="O157" s="234">
        <f t="shared" si="10"/>
        <v>1088</v>
      </c>
      <c r="P157" s="234">
        <f t="shared" si="13"/>
        <v>512</v>
      </c>
      <c r="Q157" s="234">
        <f t="shared" si="11"/>
        <v>1600</v>
      </c>
      <c r="R157" s="234">
        <f t="shared" si="12"/>
        <v>13056</v>
      </c>
    </row>
    <row r="158" spans="1:20" ht="14.25" customHeight="1">
      <c r="A158" s="174">
        <v>17</v>
      </c>
      <c r="B158" s="281" t="s">
        <v>30</v>
      </c>
      <c r="C158" s="276">
        <v>1</v>
      </c>
      <c r="D158" s="278">
        <v>1600</v>
      </c>
      <c r="E158" s="293">
        <v>1</v>
      </c>
      <c r="F158" s="84"/>
      <c r="G158" s="84"/>
      <c r="H158" s="84"/>
      <c r="I158" s="84"/>
      <c r="J158" s="84"/>
      <c r="K158" s="84"/>
      <c r="L158" s="84"/>
      <c r="M158" s="84"/>
      <c r="N158" s="283"/>
      <c r="O158" s="234">
        <f t="shared" si="10"/>
        <v>1600</v>
      </c>
      <c r="P158" s="234">
        <f t="shared" si="13"/>
        <v>1600</v>
      </c>
      <c r="Q158" s="234">
        <f t="shared" si="11"/>
        <v>3200</v>
      </c>
      <c r="R158" s="234">
        <f t="shared" si="12"/>
        <v>19200</v>
      </c>
      <c r="T158" s="172" t="s">
        <v>287</v>
      </c>
    </row>
    <row r="159" spans="1:23" ht="18.75" customHeight="1">
      <c r="A159" s="162"/>
      <c r="B159" s="162" t="s">
        <v>15</v>
      </c>
      <c r="C159" s="84">
        <f>SUM(C138:C158)</f>
        <v>23.5</v>
      </c>
      <c r="D159" s="296">
        <f>D138+D139*C139+D140*C140+D141*C141+D143+D144*C144+D145+D146*C146+D147+D148+D149*C149+D150*C150+D151*C151+D152*C152+D153*C153+D154*C154+D155+D156*C156+D157*C157</f>
        <v>53545.2</v>
      </c>
      <c r="E159" s="284"/>
      <c r="F159" s="84">
        <f aca="true" t="shared" si="14" ref="F159:R159">SUM(F138:F158)</f>
        <v>5775.9</v>
      </c>
      <c r="G159" s="84">
        <f t="shared" si="14"/>
        <v>971.2600000000002</v>
      </c>
      <c r="H159" s="84">
        <f t="shared" si="14"/>
        <v>157.60000000000002</v>
      </c>
      <c r="I159" s="84">
        <f t="shared" si="14"/>
        <v>0</v>
      </c>
      <c r="J159" s="168">
        <f t="shared" si="14"/>
        <v>0</v>
      </c>
      <c r="K159" s="84">
        <f t="shared" si="14"/>
        <v>714.24</v>
      </c>
      <c r="L159" s="84">
        <f t="shared" si="14"/>
        <v>1220.8</v>
      </c>
      <c r="M159" s="84">
        <f t="shared" si="14"/>
        <v>1918.4</v>
      </c>
      <c r="N159" s="84">
        <f t="shared" si="14"/>
        <v>1500.48</v>
      </c>
      <c r="O159" s="84">
        <f t="shared" si="14"/>
        <v>67403.88</v>
      </c>
      <c r="P159" s="84">
        <f>SUM(P138:P158)</f>
        <v>22005.760000000002</v>
      </c>
      <c r="Q159" s="84">
        <f>Q138+Q139+Q140+Q141+Q142+Q143+Q144+Q145+Q146+Q148+Q149+Q150+Q151+Q152+Q153+Q154+Q155+Q157+Q158</f>
        <v>89409.64</v>
      </c>
      <c r="R159" s="84">
        <f t="shared" si="14"/>
        <v>808846.5599999999</v>
      </c>
      <c r="T159" s="172">
        <v>3056.49</v>
      </c>
      <c r="W159" s="16">
        <f>SUM(O147:O158)</f>
        <v>36861.439999999995</v>
      </c>
    </row>
    <row r="160" spans="1:18" ht="15">
      <c r="A160" s="172"/>
      <c r="B160" s="172"/>
      <c r="C160" s="172"/>
      <c r="D160" s="172"/>
      <c r="E160" s="175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</row>
    <row r="161" spans="1:18" ht="42.75" customHeight="1">
      <c r="A161" s="172"/>
      <c r="B161" s="285"/>
      <c r="C161" s="286"/>
      <c r="D161" s="287"/>
      <c r="E161" s="288"/>
      <c r="F161" s="287"/>
      <c r="G161" s="287"/>
      <c r="H161" s="287"/>
      <c r="I161" s="287"/>
      <c r="J161" s="287"/>
      <c r="K161" s="287"/>
      <c r="L161" s="287"/>
      <c r="M161" s="287"/>
      <c r="N161" s="287"/>
      <c r="O161" s="289"/>
      <c r="P161" s="289"/>
      <c r="Q161" s="289"/>
      <c r="R161" s="172"/>
    </row>
    <row r="162" spans="1:22" ht="37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18" ht="14.25" customHeight="1">
      <c r="A163" s="172"/>
      <c r="B163" s="172"/>
      <c r="C163" s="200" t="s">
        <v>371</v>
      </c>
      <c r="D163" s="200"/>
      <c r="E163" s="200"/>
      <c r="F163" s="200"/>
      <c r="G163" s="200"/>
      <c r="H163" s="200"/>
      <c r="I163" s="200"/>
      <c r="J163" s="200"/>
      <c r="K163" s="198" t="s">
        <v>372</v>
      </c>
      <c r="L163" s="198"/>
      <c r="M163" s="198"/>
      <c r="N163" s="198"/>
      <c r="O163" s="172"/>
      <c r="P163" s="172"/>
      <c r="Q163" s="172"/>
      <c r="R163" s="172"/>
    </row>
    <row r="164" spans="1:18" ht="18.75">
      <c r="A164" s="198"/>
      <c r="B164" s="232"/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198"/>
      <c r="O164" s="198"/>
      <c r="P164" s="198"/>
      <c r="Q164" s="198"/>
      <c r="R164" s="198"/>
    </row>
    <row r="165" spans="1:18" ht="15">
      <c r="A165" s="469"/>
      <c r="B165" s="469"/>
      <c r="C165" s="469"/>
      <c r="D165" s="469"/>
      <c r="E165" s="469"/>
      <c r="F165" s="469"/>
      <c r="G165" s="469"/>
      <c r="H165" s="469"/>
      <c r="I165" s="469"/>
      <c r="J165" s="469"/>
      <c r="K165" s="469"/>
      <c r="L165" s="469"/>
      <c r="M165" s="469"/>
      <c r="N165" s="469"/>
      <c r="O165" s="469"/>
      <c r="P165" s="469"/>
      <c r="Q165" s="469"/>
      <c r="R165" s="469"/>
    </row>
    <row r="166" spans="1:18" ht="15">
      <c r="A166" s="172"/>
      <c r="B166" s="418" t="s">
        <v>368</v>
      </c>
      <c r="C166" s="172"/>
      <c r="D166" s="172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</row>
    <row r="167" spans="2:5" ht="15">
      <c r="B167" s="194">
        <v>42041</v>
      </c>
      <c r="E167" s="3"/>
    </row>
    <row r="168" spans="1:18" ht="15">
      <c r="A168" s="172"/>
      <c r="B168" s="172"/>
      <c r="C168" s="172"/>
      <c r="D168" s="172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</row>
    <row r="169" spans="1:18" ht="15">
      <c r="A169" s="2"/>
      <c r="B169" s="2"/>
      <c r="C169" s="2"/>
      <c r="D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2" ht="1.5" customHeight="1"/>
    <row r="183" ht="15" hidden="1"/>
    <row r="184" ht="15" hidden="1"/>
    <row r="185" ht="15" hidden="1"/>
    <row r="186" ht="15" hidden="1"/>
    <row r="187" ht="15" hidden="1"/>
    <row r="188" spans="7:18" ht="20.25">
      <c r="G188" s="196"/>
      <c r="K188" s="172" t="s">
        <v>65</v>
      </c>
      <c r="L188" s="172"/>
      <c r="M188" s="172"/>
      <c r="N188" s="172"/>
      <c r="O188" s="172"/>
      <c r="P188" s="172"/>
      <c r="Q188" s="172"/>
      <c r="R188" s="172"/>
    </row>
    <row r="189" spans="9:18" ht="15">
      <c r="I189" s="2"/>
      <c r="J189" s="2"/>
      <c r="K189" s="198" t="s">
        <v>364</v>
      </c>
      <c r="L189" s="198"/>
      <c r="M189" s="198"/>
      <c r="N189" s="198"/>
      <c r="O189" s="198"/>
      <c r="P189" s="198"/>
      <c r="Q189" s="198"/>
      <c r="R189" s="172"/>
    </row>
    <row r="190" spans="11:18" ht="15">
      <c r="K190" s="172" t="s">
        <v>212</v>
      </c>
      <c r="L190" s="172"/>
      <c r="M190" s="172"/>
      <c r="N190" s="172"/>
      <c r="O190" s="303">
        <v>105.65</v>
      </c>
      <c r="P190" s="303"/>
      <c r="Q190" s="303"/>
      <c r="R190" s="198"/>
    </row>
    <row r="191" spans="2:18" ht="16.5">
      <c r="B191" s="459" t="s">
        <v>365</v>
      </c>
      <c r="C191" s="5"/>
      <c r="K191" s="172" t="s">
        <v>397</v>
      </c>
      <c r="L191" s="172"/>
      <c r="M191" s="172"/>
      <c r="N191" s="172"/>
      <c r="O191" s="303">
        <v>395471.26</v>
      </c>
      <c r="P191" s="303" t="s">
        <v>409</v>
      </c>
      <c r="Q191" s="303"/>
      <c r="R191" s="172"/>
    </row>
    <row r="192" spans="1:12" ht="42.75" customHeight="1">
      <c r="A192" s="709" t="s">
        <v>330</v>
      </c>
      <c r="B192" s="709"/>
      <c r="C192" s="709"/>
      <c r="D192" s="709"/>
      <c r="E192" s="709"/>
      <c r="F192" s="709"/>
      <c r="G192" s="709"/>
      <c r="H192" s="709"/>
      <c r="I192" s="709"/>
      <c r="J192" s="709"/>
      <c r="K192" s="709"/>
      <c r="L192" s="709"/>
    </row>
    <row r="193" spans="2:18" ht="15" hidden="1">
      <c r="B193" s="172"/>
      <c r="C193" s="172"/>
      <c r="D193" s="172"/>
      <c r="E193" s="175"/>
      <c r="F193" s="172"/>
      <c r="G193" s="172"/>
      <c r="H193" s="172"/>
      <c r="I193" s="176"/>
      <c r="J193" s="176"/>
      <c r="K193" s="176"/>
      <c r="L193" s="176"/>
      <c r="M193" s="176"/>
      <c r="N193" s="176"/>
      <c r="O193" s="176"/>
      <c r="P193" s="176"/>
      <c r="Q193" s="176"/>
      <c r="R193" s="172"/>
    </row>
    <row r="194" spans="2:18" ht="15">
      <c r="B194" s="172"/>
      <c r="C194" s="172"/>
      <c r="D194" s="172"/>
      <c r="E194" s="175"/>
      <c r="F194" s="172"/>
      <c r="G194" s="172"/>
      <c r="H194" s="172"/>
      <c r="I194" s="176"/>
      <c r="J194" s="176"/>
      <c r="K194" s="176"/>
      <c r="L194" s="176"/>
      <c r="M194" s="176"/>
      <c r="N194" s="176"/>
      <c r="O194" s="176"/>
      <c r="P194" s="176"/>
      <c r="Q194" s="176"/>
      <c r="R194" s="172"/>
    </row>
    <row r="195" spans="2:18" ht="15">
      <c r="B195" s="172"/>
      <c r="C195" s="172"/>
      <c r="D195" s="172"/>
      <c r="E195" s="175"/>
      <c r="F195" s="172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</row>
    <row r="196" spans="2:18" ht="7.5" customHeight="1">
      <c r="B196" s="172"/>
      <c r="C196" s="172"/>
      <c r="D196" s="172"/>
      <c r="E196" s="175"/>
      <c r="F196" s="172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</row>
    <row r="197" spans="1:18" ht="12.75" customHeight="1">
      <c r="A197" s="654" t="s">
        <v>1</v>
      </c>
      <c r="B197" s="236" t="s">
        <v>2</v>
      </c>
      <c r="C197" s="237" t="s">
        <v>4</v>
      </c>
      <c r="D197" s="504" t="s">
        <v>321</v>
      </c>
      <c r="E197" s="504" t="s">
        <v>322</v>
      </c>
      <c r="F197" s="562" t="s">
        <v>7</v>
      </c>
      <c r="G197" s="562"/>
      <c r="H197" s="562"/>
      <c r="I197" s="562"/>
      <c r="J197" s="238"/>
      <c r="K197" s="239"/>
      <c r="L197" s="304"/>
      <c r="M197" s="239" t="s">
        <v>8</v>
      </c>
      <c r="N197" s="305"/>
      <c r="O197" s="237" t="s">
        <v>10</v>
      </c>
      <c r="P197" s="493" t="s">
        <v>339</v>
      </c>
      <c r="Q197" s="473" t="s">
        <v>340</v>
      </c>
      <c r="R197" s="237" t="s">
        <v>13</v>
      </c>
    </row>
    <row r="198" spans="1:18" ht="12.75" customHeight="1">
      <c r="A198" s="655"/>
      <c r="B198" s="242" t="s">
        <v>3</v>
      </c>
      <c r="C198" s="242" t="s">
        <v>5</v>
      </c>
      <c r="D198" s="504"/>
      <c r="E198" s="504"/>
      <c r="F198" s="664" t="s">
        <v>18</v>
      </c>
      <c r="G198" s="523" t="s">
        <v>389</v>
      </c>
      <c r="H198" s="558" t="s">
        <v>245</v>
      </c>
      <c r="I198" s="668" t="s">
        <v>226</v>
      </c>
      <c r="J198" s="306"/>
      <c r="K198" s="498" t="s">
        <v>195</v>
      </c>
      <c r="L198" s="483" t="s">
        <v>113</v>
      </c>
      <c r="M198" s="657" t="s">
        <v>341</v>
      </c>
      <c r="N198" s="690" t="s">
        <v>232</v>
      </c>
      <c r="O198" s="243" t="s">
        <v>11</v>
      </c>
      <c r="P198" s="494"/>
      <c r="Q198" s="474"/>
      <c r="R198" s="243" t="s">
        <v>11</v>
      </c>
    </row>
    <row r="199" spans="1:18" ht="15">
      <c r="A199" s="655"/>
      <c r="B199" s="242"/>
      <c r="C199" s="242" t="s">
        <v>6</v>
      </c>
      <c r="D199" s="504"/>
      <c r="E199" s="504"/>
      <c r="F199" s="664"/>
      <c r="G199" s="483"/>
      <c r="H199" s="558"/>
      <c r="I199" s="558"/>
      <c r="J199" s="244"/>
      <c r="K199" s="499"/>
      <c r="L199" s="483"/>
      <c r="M199" s="658"/>
      <c r="N199" s="690"/>
      <c r="O199" s="307" t="s">
        <v>12</v>
      </c>
      <c r="P199" s="494"/>
      <c r="Q199" s="474"/>
      <c r="R199" s="243" t="s">
        <v>14</v>
      </c>
    </row>
    <row r="200" spans="1:18" ht="15">
      <c r="A200" s="241"/>
      <c r="B200" s="242"/>
      <c r="C200" s="242"/>
      <c r="D200" s="504"/>
      <c r="E200" s="504"/>
      <c r="F200" s="664"/>
      <c r="G200" s="483"/>
      <c r="H200" s="558"/>
      <c r="I200" s="558"/>
      <c r="J200" s="244"/>
      <c r="K200" s="499"/>
      <c r="L200" s="483"/>
      <c r="M200" s="658"/>
      <c r="N200" s="690"/>
      <c r="O200" s="307" t="s">
        <v>115</v>
      </c>
      <c r="P200" s="494"/>
      <c r="Q200" s="474"/>
      <c r="R200" s="243" t="s">
        <v>115</v>
      </c>
    </row>
    <row r="201" spans="1:18" ht="40.5" customHeight="1">
      <c r="A201" s="246"/>
      <c r="B201" s="247"/>
      <c r="C201" s="248"/>
      <c r="D201" s="504"/>
      <c r="E201" s="504"/>
      <c r="F201" s="665"/>
      <c r="G201" s="484"/>
      <c r="H201" s="559"/>
      <c r="I201" s="559"/>
      <c r="J201" s="249" t="s">
        <v>253</v>
      </c>
      <c r="K201" s="500"/>
      <c r="L201" s="484"/>
      <c r="M201" s="659"/>
      <c r="N201" s="690"/>
      <c r="O201" s="308"/>
      <c r="P201" s="495"/>
      <c r="Q201" s="475"/>
      <c r="R201" s="251"/>
    </row>
    <row r="202" spans="1:19" ht="17.25" customHeight="1">
      <c r="A202" s="266">
        <v>1</v>
      </c>
      <c r="B202" s="251" t="s">
        <v>213</v>
      </c>
      <c r="C202" s="268">
        <v>1</v>
      </c>
      <c r="D202" s="278">
        <v>4800</v>
      </c>
      <c r="E202" s="269">
        <v>17</v>
      </c>
      <c r="F202" s="233">
        <f>(D202+J202)*20%</f>
        <v>1008</v>
      </c>
      <c r="G202" s="233">
        <f>(D202*C202+I202+J202)*5%</f>
        <v>252</v>
      </c>
      <c r="H202" s="233"/>
      <c r="I202" s="233"/>
      <c r="J202" s="233">
        <f>D202*5%</f>
        <v>240</v>
      </c>
      <c r="K202" s="233"/>
      <c r="L202" s="233"/>
      <c r="M202" s="233"/>
      <c r="N202" s="233"/>
      <c r="O202" s="234">
        <f>D202*C202+F202+G202+H202+I202+K202+L202+M202+N202+J202</f>
        <v>6300</v>
      </c>
      <c r="P202" s="234"/>
      <c r="Q202" s="234">
        <f>O202+P202</f>
        <v>6300</v>
      </c>
      <c r="R202" s="234">
        <f>O202*12</f>
        <v>75600</v>
      </c>
      <c r="S202" s="3">
        <f>D202+D204*C204+J202+J204+D206+D207*C207+D208+D209+D210*C210+D226</f>
        <v>39352</v>
      </c>
    </row>
    <row r="203" spans="1:18" ht="15" hidden="1">
      <c r="A203" s="174">
        <v>2</v>
      </c>
      <c r="B203" s="162"/>
      <c r="C203" s="276"/>
      <c r="D203" s="272"/>
      <c r="E203" s="273"/>
      <c r="F203" s="274"/>
      <c r="G203" s="233">
        <f>(D203*C203+I203+J203)*20%</f>
        <v>0</v>
      </c>
      <c r="H203" s="233"/>
      <c r="I203" s="84"/>
      <c r="J203" s="84"/>
      <c r="K203" s="84"/>
      <c r="L203" s="84"/>
      <c r="M203" s="84"/>
      <c r="N203" s="84"/>
      <c r="O203" s="234">
        <f>D203*C203+F203+G203+H203+I203+K203+L203+M203+N203+J203</f>
        <v>0</v>
      </c>
      <c r="P203" s="234"/>
      <c r="Q203" s="234">
        <f aca="true" t="shared" si="15" ref="Q203:Q250">O203+P203</f>
        <v>0</v>
      </c>
      <c r="R203" s="234">
        <f aca="true" t="shared" si="16" ref="R203:R250">O203*12</f>
        <v>0</v>
      </c>
    </row>
    <row r="204" spans="1:18" ht="28.5">
      <c r="A204" s="174">
        <v>2</v>
      </c>
      <c r="B204" s="280" t="s">
        <v>130</v>
      </c>
      <c r="C204" s="276">
        <v>2</v>
      </c>
      <c r="D204" s="226">
        <f>D202*95%</f>
        <v>4560</v>
      </c>
      <c r="E204" s="291" t="s">
        <v>332</v>
      </c>
      <c r="F204" s="233">
        <f>(D204*C204+J204)*25%</f>
        <v>2337</v>
      </c>
      <c r="G204" s="233">
        <f>(D204*C204+I204+J204)*5%</f>
        <v>467.40000000000003</v>
      </c>
      <c r="H204" s="233"/>
      <c r="I204" s="84"/>
      <c r="J204" s="84">
        <f>D204*5%</f>
        <v>228</v>
      </c>
      <c r="K204" s="84"/>
      <c r="L204" s="84"/>
      <c r="M204" s="84"/>
      <c r="N204" s="84"/>
      <c r="O204" s="234">
        <f>D204*C204+F204+G204+H204+I204+K204+L204+M204+N204+J204</f>
        <v>12152.4</v>
      </c>
      <c r="P204" s="234"/>
      <c r="Q204" s="234">
        <f t="shared" si="15"/>
        <v>12152.4</v>
      </c>
      <c r="R204" s="234">
        <f t="shared" si="16"/>
        <v>145828.8</v>
      </c>
    </row>
    <row r="205" spans="1:18" ht="12.75" customHeight="1" hidden="1">
      <c r="A205" s="174">
        <v>3</v>
      </c>
      <c r="B205" s="162" t="s">
        <v>33</v>
      </c>
      <c r="C205" s="276"/>
      <c r="D205" s="226">
        <f>D203*95%</f>
        <v>0</v>
      </c>
      <c r="E205" s="311"/>
      <c r="F205" s="233">
        <f>(D205*C205+H205)*30%</f>
        <v>0</v>
      </c>
      <c r="G205" s="233">
        <f>(D205*C205+I205+J205)*20%</f>
        <v>0</v>
      </c>
      <c r="H205" s="233">
        <f>D205*5%</f>
        <v>0</v>
      </c>
      <c r="I205" s="84"/>
      <c r="J205" s="84"/>
      <c r="K205" s="84"/>
      <c r="L205" s="84"/>
      <c r="M205" s="84"/>
      <c r="N205" s="84"/>
      <c r="O205" s="234">
        <f aca="true" t="shared" si="17" ref="O205:O248">D205*C205+F205+G205+H205+I205+K205+L205+M205+N205</f>
        <v>0</v>
      </c>
      <c r="P205" s="234"/>
      <c r="Q205" s="234">
        <f t="shared" si="15"/>
        <v>0</v>
      </c>
      <c r="R205" s="234">
        <f t="shared" si="16"/>
        <v>0</v>
      </c>
    </row>
    <row r="206" spans="1:18" ht="29.25" customHeight="1">
      <c r="A206" s="174">
        <v>3</v>
      </c>
      <c r="B206" s="281" t="s">
        <v>250</v>
      </c>
      <c r="C206" s="276">
        <v>0.5</v>
      </c>
      <c r="D206" s="226">
        <f>D202*95%</f>
        <v>4560</v>
      </c>
      <c r="E206" s="291" t="s">
        <v>332</v>
      </c>
      <c r="F206" s="233">
        <f>(D206*C206+H206)*20%</f>
        <v>456</v>
      </c>
      <c r="G206" s="233">
        <f>(D206*C206+I206+J206)*5%</f>
        <v>114</v>
      </c>
      <c r="H206" s="233"/>
      <c r="I206" s="84"/>
      <c r="J206" s="84"/>
      <c r="K206" s="84"/>
      <c r="L206" s="84"/>
      <c r="M206" s="84"/>
      <c r="N206" s="84"/>
      <c r="O206" s="234">
        <f>D206*C206+F206+G206+H206+I206+K206+L206+M206+N206</f>
        <v>2850</v>
      </c>
      <c r="P206" s="234"/>
      <c r="Q206" s="234">
        <f t="shared" si="15"/>
        <v>2850</v>
      </c>
      <c r="R206" s="234">
        <f t="shared" si="16"/>
        <v>34200</v>
      </c>
    </row>
    <row r="207" spans="1:19" ht="18" customHeight="1">
      <c r="A207" s="174">
        <v>4</v>
      </c>
      <c r="B207" s="162" t="s">
        <v>34</v>
      </c>
      <c r="C207" s="84">
        <v>0.75</v>
      </c>
      <c r="D207" s="278">
        <v>3632</v>
      </c>
      <c r="E207" s="294" t="s">
        <v>348</v>
      </c>
      <c r="F207" s="233">
        <f>(D207*C207+H207)*20%</f>
        <v>544.8000000000001</v>
      </c>
      <c r="G207" s="233">
        <f>(D207*C207+I207+J207)*5%</f>
        <v>136.20000000000002</v>
      </c>
      <c r="H207" s="84"/>
      <c r="I207" s="84"/>
      <c r="J207" s="84"/>
      <c r="K207" s="84"/>
      <c r="L207" s="84"/>
      <c r="M207" s="84"/>
      <c r="N207" s="84"/>
      <c r="O207" s="234">
        <f t="shared" si="17"/>
        <v>3405</v>
      </c>
      <c r="P207" s="234"/>
      <c r="Q207" s="234">
        <f t="shared" si="15"/>
        <v>3405</v>
      </c>
      <c r="R207" s="234">
        <f t="shared" si="16"/>
        <v>40860</v>
      </c>
      <c r="S207" s="16"/>
    </row>
    <row r="208" spans="1:18" ht="14.25" customHeight="1">
      <c r="A208" s="174">
        <v>5</v>
      </c>
      <c r="B208" s="162" t="s">
        <v>21</v>
      </c>
      <c r="C208" s="276">
        <v>1</v>
      </c>
      <c r="D208" s="278">
        <v>3632</v>
      </c>
      <c r="E208" s="294" t="s">
        <v>348</v>
      </c>
      <c r="F208" s="233">
        <f>D208*20%</f>
        <v>726.4000000000001</v>
      </c>
      <c r="G208" s="233">
        <f>(D208*C208+I208+J208)*5%</f>
        <v>181.60000000000002</v>
      </c>
      <c r="H208" s="277"/>
      <c r="I208" s="84"/>
      <c r="J208" s="84"/>
      <c r="K208" s="84"/>
      <c r="L208" s="84"/>
      <c r="M208" s="84"/>
      <c r="N208" s="84"/>
      <c r="O208" s="234">
        <f t="shared" si="17"/>
        <v>4540</v>
      </c>
      <c r="P208" s="234"/>
      <c r="Q208" s="234">
        <f t="shared" si="15"/>
        <v>4540</v>
      </c>
      <c r="R208" s="234">
        <f t="shared" si="16"/>
        <v>54480</v>
      </c>
    </row>
    <row r="209" spans="1:18" ht="18" customHeight="1">
      <c r="A209" s="174">
        <v>6</v>
      </c>
      <c r="B209" s="162" t="s">
        <v>292</v>
      </c>
      <c r="C209" s="276">
        <v>1</v>
      </c>
      <c r="D209" s="278">
        <v>3152</v>
      </c>
      <c r="E209" s="294" t="s">
        <v>349</v>
      </c>
      <c r="F209" s="233">
        <f>D209*10%</f>
        <v>315.20000000000005</v>
      </c>
      <c r="G209" s="233">
        <f>(D209*C209+I209+J209)*5%</f>
        <v>157.60000000000002</v>
      </c>
      <c r="H209" s="277"/>
      <c r="I209" s="84"/>
      <c r="J209" s="84"/>
      <c r="K209" s="84"/>
      <c r="L209" s="84"/>
      <c r="M209" s="84"/>
      <c r="N209" s="84"/>
      <c r="O209" s="234">
        <f t="shared" si="17"/>
        <v>3624.7999999999997</v>
      </c>
      <c r="P209" s="234"/>
      <c r="Q209" s="234">
        <f t="shared" si="15"/>
        <v>3624.7999999999997</v>
      </c>
      <c r="R209" s="234">
        <f t="shared" si="16"/>
        <v>43497.6</v>
      </c>
    </row>
    <row r="210" spans="1:18" ht="14.25" customHeight="1">
      <c r="A210" s="174">
        <v>7</v>
      </c>
      <c r="B210" s="162" t="s">
        <v>32</v>
      </c>
      <c r="C210" s="276">
        <v>2</v>
      </c>
      <c r="D210" s="278">
        <v>3752</v>
      </c>
      <c r="E210" s="294" t="s">
        <v>350</v>
      </c>
      <c r="F210" s="233">
        <f>D210*C210*30%</f>
        <v>2251.2</v>
      </c>
      <c r="G210" s="233">
        <f>(D210*C210+I210+J210)*5%</f>
        <v>375.20000000000005</v>
      </c>
      <c r="H210" s="277"/>
      <c r="I210" s="84"/>
      <c r="J210" s="84"/>
      <c r="K210" s="84"/>
      <c r="L210" s="84"/>
      <c r="M210" s="84"/>
      <c r="N210" s="84"/>
      <c r="O210" s="234">
        <f t="shared" si="17"/>
        <v>10130.400000000001</v>
      </c>
      <c r="P210" s="234"/>
      <c r="Q210" s="234">
        <f t="shared" si="15"/>
        <v>10130.400000000001</v>
      </c>
      <c r="R210" s="234">
        <f t="shared" si="16"/>
        <v>121564.80000000002</v>
      </c>
    </row>
    <row r="211" spans="1:18" ht="18" customHeight="1">
      <c r="A211" s="174">
        <v>8</v>
      </c>
      <c r="B211" s="162" t="s">
        <v>205</v>
      </c>
      <c r="C211" s="276">
        <v>1</v>
      </c>
      <c r="D211" s="278">
        <v>3392</v>
      </c>
      <c r="E211" s="293">
        <v>12</v>
      </c>
      <c r="F211" s="233">
        <f>D211*30%</f>
        <v>1017.5999999999999</v>
      </c>
      <c r="G211" s="233"/>
      <c r="H211" s="84">
        <f>D211*15%</f>
        <v>508.79999999999995</v>
      </c>
      <c r="I211" s="84"/>
      <c r="J211" s="84"/>
      <c r="K211" s="84"/>
      <c r="L211" s="84"/>
      <c r="M211" s="84"/>
      <c r="N211" s="84"/>
      <c r="O211" s="234">
        <f t="shared" si="17"/>
        <v>4918.400000000001</v>
      </c>
      <c r="P211" s="234"/>
      <c r="Q211" s="234">
        <f t="shared" si="15"/>
        <v>4918.400000000001</v>
      </c>
      <c r="R211" s="234">
        <f t="shared" si="16"/>
        <v>59020.8</v>
      </c>
    </row>
    <row r="212" spans="1:18" ht="14.25" customHeight="1" hidden="1">
      <c r="A212" s="174">
        <v>9</v>
      </c>
      <c r="B212" s="162" t="s">
        <v>179</v>
      </c>
      <c r="C212" s="276"/>
      <c r="D212" s="278"/>
      <c r="E212" s="294">
        <v>9</v>
      </c>
      <c r="F212" s="84"/>
      <c r="G212" s="84"/>
      <c r="H212" s="84"/>
      <c r="I212" s="84"/>
      <c r="J212" s="84"/>
      <c r="K212" s="84"/>
      <c r="L212" s="84"/>
      <c r="M212" s="84"/>
      <c r="N212" s="84"/>
      <c r="O212" s="234">
        <f t="shared" si="17"/>
        <v>0</v>
      </c>
      <c r="P212" s="234">
        <f aca="true" t="shared" si="18" ref="P212:P250">3200*C212-(O212-L212-M212-N212)</f>
        <v>0</v>
      </c>
      <c r="Q212" s="234">
        <f t="shared" si="15"/>
        <v>0</v>
      </c>
      <c r="R212" s="234">
        <f t="shared" si="16"/>
        <v>0</v>
      </c>
    </row>
    <row r="213" spans="1:24" ht="28.5">
      <c r="A213" s="174">
        <v>9</v>
      </c>
      <c r="B213" s="309" t="s">
        <v>214</v>
      </c>
      <c r="C213" s="276">
        <v>1</v>
      </c>
      <c r="D213" s="278">
        <f>D202*85%</f>
        <v>4080</v>
      </c>
      <c r="E213" s="291" t="s">
        <v>331</v>
      </c>
      <c r="F213" s="84"/>
      <c r="G213" s="84"/>
      <c r="H213" s="84"/>
      <c r="I213" s="84"/>
      <c r="J213" s="84"/>
      <c r="K213" s="84"/>
      <c r="L213" s="84"/>
      <c r="M213" s="84"/>
      <c r="N213" s="84"/>
      <c r="O213" s="234">
        <f>D213*C213+F213+G213+H213+I213+K213+L213+M213+N213</f>
        <v>4080</v>
      </c>
      <c r="P213" s="234"/>
      <c r="Q213" s="234">
        <f t="shared" si="15"/>
        <v>4080</v>
      </c>
      <c r="R213" s="234">
        <f t="shared" si="16"/>
        <v>48960</v>
      </c>
      <c r="X213" s="47"/>
    </row>
    <row r="214" spans="1:24" ht="0.75" customHeight="1">
      <c r="A214" s="174">
        <v>10</v>
      </c>
      <c r="B214" s="279"/>
      <c r="C214" s="276"/>
      <c r="D214" s="278"/>
      <c r="E214" s="298"/>
      <c r="F214" s="84"/>
      <c r="G214" s="84"/>
      <c r="H214" s="84"/>
      <c r="I214" s="84"/>
      <c r="J214" s="84"/>
      <c r="K214" s="84"/>
      <c r="L214" s="84"/>
      <c r="M214" s="84"/>
      <c r="N214" s="84"/>
      <c r="O214" s="234">
        <f>D214*C214+F214+G214+H214+I214+K214+L214+M214+N214</f>
        <v>0</v>
      </c>
      <c r="P214" s="234"/>
      <c r="Q214" s="234">
        <f t="shared" si="15"/>
        <v>0</v>
      </c>
      <c r="R214" s="234">
        <f t="shared" si="16"/>
        <v>0</v>
      </c>
      <c r="X214" s="47"/>
    </row>
    <row r="215" spans="1:19" ht="15">
      <c r="A215" s="174">
        <v>11</v>
      </c>
      <c r="B215" s="309" t="s">
        <v>221</v>
      </c>
      <c r="C215" s="276">
        <v>1</v>
      </c>
      <c r="D215" s="278">
        <v>2624</v>
      </c>
      <c r="E215" s="293">
        <v>8</v>
      </c>
      <c r="F215" s="84">
        <f>D215*30%</f>
        <v>787.1999999999999</v>
      </c>
      <c r="G215" s="84"/>
      <c r="H215" s="84"/>
      <c r="I215" s="84"/>
      <c r="J215" s="84"/>
      <c r="K215" s="84"/>
      <c r="L215" s="84"/>
      <c r="M215" s="84"/>
      <c r="N215" s="84">
        <f>D215*7%</f>
        <v>183.68</v>
      </c>
      <c r="O215" s="234">
        <f t="shared" si="17"/>
        <v>3594.8799999999997</v>
      </c>
      <c r="P215" s="234"/>
      <c r="Q215" s="234">
        <f t="shared" si="15"/>
        <v>3594.8799999999997</v>
      </c>
      <c r="R215" s="234">
        <f t="shared" si="16"/>
        <v>43138.56</v>
      </c>
      <c r="S215" s="3">
        <f>D211+H211+D213+D215+N215+D216+D217*C217+D218+D219*C219+D220*C220+D222*C222+N222+D223+N223+D224+D225+D227</f>
        <v>51810.88</v>
      </c>
    </row>
    <row r="216" spans="1:18" ht="15.75" customHeight="1">
      <c r="A216" s="174">
        <v>12</v>
      </c>
      <c r="B216" s="162" t="s">
        <v>23</v>
      </c>
      <c r="C216" s="276">
        <v>1</v>
      </c>
      <c r="D216" s="278">
        <v>2176</v>
      </c>
      <c r="E216" s="293">
        <v>5</v>
      </c>
      <c r="F216" s="84"/>
      <c r="G216" s="84"/>
      <c r="H216" s="84"/>
      <c r="I216" s="84"/>
      <c r="J216" s="84"/>
      <c r="K216" s="84"/>
      <c r="L216" s="84"/>
      <c r="M216" s="84"/>
      <c r="N216" s="84"/>
      <c r="O216" s="234">
        <f t="shared" si="17"/>
        <v>2176</v>
      </c>
      <c r="P216" s="234">
        <f t="shared" si="18"/>
        <v>1024</v>
      </c>
      <c r="Q216" s="234">
        <f t="shared" si="15"/>
        <v>3200</v>
      </c>
      <c r="R216" s="234">
        <f t="shared" si="16"/>
        <v>26112</v>
      </c>
    </row>
    <row r="217" spans="1:19" ht="15.75" customHeight="1">
      <c r="A217" s="174">
        <v>13</v>
      </c>
      <c r="B217" s="162" t="s">
        <v>24</v>
      </c>
      <c r="C217" s="84">
        <v>0.5</v>
      </c>
      <c r="D217" s="278">
        <v>2032</v>
      </c>
      <c r="E217" s="293">
        <v>4</v>
      </c>
      <c r="F217" s="84"/>
      <c r="G217" s="84"/>
      <c r="H217" s="84"/>
      <c r="I217" s="84"/>
      <c r="J217" s="84"/>
      <c r="K217" s="84"/>
      <c r="L217" s="84"/>
      <c r="M217" s="84"/>
      <c r="N217" s="84"/>
      <c r="O217" s="234">
        <f t="shared" si="17"/>
        <v>1016</v>
      </c>
      <c r="P217" s="234">
        <f t="shared" si="18"/>
        <v>584</v>
      </c>
      <c r="Q217" s="234">
        <f t="shared" si="15"/>
        <v>1600</v>
      </c>
      <c r="R217" s="234">
        <f t="shared" si="16"/>
        <v>12192</v>
      </c>
      <c r="S217" s="16"/>
    </row>
    <row r="218" spans="1:18" ht="41.25" customHeight="1">
      <c r="A218" s="174">
        <v>14</v>
      </c>
      <c r="B218" s="280" t="s">
        <v>182</v>
      </c>
      <c r="C218" s="276">
        <v>1</v>
      </c>
      <c r="D218" s="278">
        <v>2032</v>
      </c>
      <c r="E218" s="293">
        <v>4</v>
      </c>
      <c r="F218" s="84"/>
      <c r="G218" s="84"/>
      <c r="H218" s="84"/>
      <c r="I218" s="84"/>
      <c r="J218" s="84"/>
      <c r="K218" s="84"/>
      <c r="L218" s="84"/>
      <c r="M218" s="84"/>
      <c r="N218" s="84"/>
      <c r="O218" s="234">
        <f t="shared" si="17"/>
        <v>2032</v>
      </c>
      <c r="P218" s="234">
        <f t="shared" si="18"/>
        <v>1168</v>
      </c>
      <c r="Q218" s="234">
        <f t="shared" si="15"/>
        <v>3200</v>
      </c>
      <c r="R218" s="234">
        <f t="shared" si="16"/>
        <v>24384</v>
      </c>
    </row>
    <row r="219" spans="1:18" ht="16.5" customHeight="1">
      <c r="A219" s="174">
        <v>15</v>
      </c>
      <c r="B219" s="162" t="s">
        <v>27</v>
      </c>
      <c r="C219" s="84">
        <v>2.5</v>
      </c>
      <c r="D219" s="278">
        <v>1744</v>
      </c>
      <c r="E219" s="293">
        <v>2</v>
      </c>
      <c r="F219" s="84"/>
      <c r="G219" s="84"/>
      <c r="H219" s="84"/>
      <c r="I219" s="84"/>
      <c r="J219" s="84"/>
      <c r="K219" s="84"/>
      <c r="L219" s="84"/>
      <c r="M219" s="84">
        <f>D219*40%*C219</f>
        <v>1744</v>
      </c>
      <c r="N219" s="84"/>
      <c r="O219" s="234">
        <f t="shared" si="17"/>
        <v>6104</v>
      </c>
      <c r="P219" s="234">
        <f t="shared" si="18"/>
        <v>3640</v>
      </c>
      <c r="Q219" s="234">
        <f t="shared" si="15"/>
        <v>9744</v>
      </c>
      <c r="R219" s="234">
        <f t="shared" si="16"/>
        <v>73248</v>
      </c>
    </row>
    <row r="220" spans="1:18" ht="28.5">
      <c r="A220" s="174">
        <v>16</v>
      </c>
      <c r="B220" s="281" t="s">
        <v>193</v>
      </c>
      <c r="C220" s="276">
        <v>10.5</v>
      </c>
      <c r="D220" s="278">
        <v>1744</v>
      </c>
      <c r="E220" s="293">
        <v>2</v>
      </c>
      <c r="F220" s="84"/>
      <c r="G220" s="84"/>
      <c r="H220" s="84"/>
      <c r="I220" s="84"/>
      <c r="J220" s="84"/>
      <c r="K220" s="84"/>
      <c r="L220" s="84">
        <f>D220*10%*10</f>
        <v>1744</v>
      </c>
      <c r="M220" s="84"/>
      <c r="N220" s="84"/>
      <c r="O220" s="234">
        <f t="shared" si="17"/>
        <v>20056</v>
      </c>
      <c r="P220" s="234">
        <f t="shared" si="18"/>
        <v>15288</v>
      </c>
      <c r="Q220" s="234">
        <f t="shared" si="15"/>
        <v>35344</v>
      </c>
      <c r="R220" s="234">
        <f t="shared" si="16"/>
        <v>240672</v>
      </c>
    </row>
    <row r="221" spans="1:18" ht="16.5" customHeight="1" hidden="1">
      <c r="A221" s="174"/>
      <c r="B221" s="162"/>
      <c r="C221" s="276"/>
      <c r="D221" s="278"/>
      <c r="E221" s="293"/>
      <c r="F221" s="84"/>
      <c r="G221" s="84"/>
      <c r="H221" s="84"/>
      <c r="I221" s="84"/>
      <c r="J221" s="84"/>
      <c r="K221" s="84"/>
      <c r="L221" s="84"/>
      <c r="M221" s="84"/>
      <c r="N221" s="84"/>
      <c r="O221" s="234">
        <f t="shared" si="17"/>
        <v>0</v>
      </c>
      <c r="P221" s="234">
        <f t="shared" si="18"/>
        <v>0</v>
      </c>
      <c r="Q221" s="234">
        <f t="shared" si="15"/>
        <v>0</v>
      </c>
      <c r="R221" s="234">
        <f t="shared" si="16"/>
        <v>0</v>
      </c>
    </row>
    <row r="222" spans="1:18" ht="15.75" customHeight="1">
      <c r="A222" s="174">
        <v>17</v>
      </c>
      <c r="B222" s="162" t="s">
        <v>25</v>
      </c>
      <c r="C222" s="276">
        <v>3</v>
      </c>
      <c r="D222" s="278">
        <v>2176</v>
      </c>
      <c r="E222" s="293">
        <v>5</v>
      </c>
      <c r="F222" s="84"/>
      <c r="G222" s="84"/>
      <c r="H222" s="84"/>
      <c r="I222" s="84"/>
      <c r="J222" s="84"/>
      <c r="K222" s="283">
        <f>D222*C222*12%</f>
        <v>783.36</v>
      </c>
      <c r="L222" s="84"/>
      <c r="M222" s="84"/>
      <c r="N222" s="84">
        <f>D222*20%+D222*C222*15%</f>
        <v>1414.4</v>
      </c>
      <c r="O222" s="234">
        <f t="shared" si="17"/>
        <v>8725.76</v>
      </c>
      <c r="P222" s="234">
        <f t="shared" si="18"/>
        <v>2288.6399999999994</v>
      </c>
      <c r="Q222" s="234">
        <f t="shared" si="15"/>
        <v>11014.4</v>
      </c>
      <c r="R222" s="234">
        <f t="shared" si="16"/>
        <v>104709.12</v>
      </c>
    </row>
    <row r="223" spans="1:18" ht="14.25" customHeight="1">
      <c r="A223" s="174">
        <v>18</v>
      </c>
      <c r="B223" s="162" t="s">
        <v>151</v>
      </c>
      <c r="C223" s="276">
        <v>1</v>
      </c>
      <c r="D223" s="278">
        <v>1600</v>
      </c>
      <c r="E223" s="293">
        <v>1</v>
      </c>
      <c r="F223" s="84"/>
      <c r="G223" s="84"/>
      <c r="H223" s="84"/>
      <c r="I223" s="84"/>
      <c r="J223" s="84"/>
      <c r="K223" s="283">
        <f>D223*C223*12%</f>
        <v>192</v>
      </c>
      <c r="L223" s="84"/>
      <c r="M223" s="84"/>
      <c r="N223" s="84">
        <f>D223*C223*15%</f>
        <v>240</v>
      </c>
      <c r="O223" s="234">
        <f>D223*C223+F223+G223+H223+I223+K223+L223+M223+N223</f>
        <v>2032</v>
      </c>
      <c r="P223" s="234">
        <f t="shared" si="18"/>
        <v>1408</v>
      </c>
      <c r="Q223" s="234">
        <f t="shared" si="15"/>
        <v>3440</v>
      </c>
      <c r="R223" s="234">
        <f t="shared" si="16"/>
        <v>24384</v>
      </c>
    </row>
    <row r="224" spans="1:18" ht="15.75" customHeight="1">
      <c r="A224" s="174">
        <v>19</v>
      </c>
      <c r="B224" s="162" t="s">
        <v>30</v>
      </c>
      <c r="C224" s="276">
        <v>1</v>
      </c>
      <c r="D224" s="278">
        <v>1600</v>
      </c>
      <c r="E224" s="293">
        <v>1</v>
      </c>
      <c r="F224" s="84"/>
      <c r="G224" s="84"/>
      <c r="H224" s="84"/>
      <c r="I224" s="84"/>
      <c r="J224" s="84"/>
      <c r="K224" s="283"/>
      <c r="L224" s="84"/>
      <c r="M224" s="84"/>
      <c r="N224" s="84"/>
      <c r="O224" s="234">
        <f t="shared" si="17"/>
        <v>1600</v>
      </c>
      <c r="P224" s="234">
        <f t="shared" si="18"/>
        <v>1600</v>
      </c>
      <c r="Q224" s="234">
        <f t="shared" si="15"/>
        <v>3200</v>
      </c>
      <c r="R224" s="234">
        <f>O224*12</f>
        <v>19200</v>
      </c>
    </row>
    <row r="225" spans="1:18" ht="15.75" customHeight="1" hidden="1">
      <c r="A225" s="174"/>
      <c r="B225" s="162"/>
      <c r="C225" s="276"/>
      <c r="D225" s="278"/>
      <c r="E225" s="293"/>
      <c r="F225" s="84"/>
      <c r="G225" s="84"/>
      <c r="H225" s="84"/>
      <c r="I225" s="84"/>
      <c r="J225" s="84"/>
      <c r="K225" s="283"/>
      <c r="L225" s="84"/>
      <c r="M225" s="84"/>
      <c r="N225" s="84"/>
      <c r="O225" s="234">
        <f t="shared" si="17"/>
        <v>0</v>
      </c>
      <c r="P225" s="234">
        <f t="shared" si="18"/>
        <v>0</v>
      </c>
      <c r="Q225" s="234">
        <f t="shared" si="15"/>
        <v>0</v>
      </c>
      <c r="R225" s="234">
        <f>O225*6</f>
        <v>0</v>
      </c>
    </row>
    <row r="226" spans="1:18" ht="17.25" customHeight="1">
      <c r="A226" s="174">
        <v>20</v>
      </c>
      <c r="B226" s="162" t="s">
        <v>220</v>
      </c>
      <c r="C226" s="276">
        <v>1</v>
      </c>
      <c r="D226" s="278">
        <v>3392</v>
      </c>
      <c r="E226" s="293">
        <v>12</v>
      </c>
      <c r="F226" s="84">
        <f>D226*20%</f>
        <v>678.4000000000001</v>
      </c>
      <c r="G226" s="84">
        <f>D226*5%</f>
        <v>169.60000000000002</v>
      </c>
      <c r="H226" s="84"/>
      <c r="I226" s="84"/>
      <c r="J226" s="84"/>
      <c r="K226" s="283"/>
      <c r="L226" s="84"/>
      <c r="M226" s="84"/>
      <c r="N226" s="84"/>
      <c r="O226" s="234">
        <f t="shared" si="17"/>
        <v>4240</v>
      </c>
      <c r="P226" s="234"/>
      <c r="Q226" s="234">
        <f t="shared" si="15"/>
        <v>4240</v>
      </c>
      <c r="R226" s="234">
        <f>O226*6</f>
        <v>25440</v>
      </c>
    </row>
    <row r="227" spans="1:18" ht="15.75" customHeight="1">
      <c r="A227" s="174">
        <v>21</v>
      </c>
      <c r="B227" s="162" t="s">
        <v>31</v>
      </c>
      <c r="C227" s="276">
        <v>1</v>
      </c>
      <c r="D227" s="278">
        <v>1744</v>
      </c>
      <c r="E227" s="293">
        <v>2</v>
      </c>
      <c r="F227" s="84"/>
      <c r="G227" s="84"/>
      <c r="H227" s="84"/>
      <c r="I227" s="84"/>
      <c r="J227" s="84"/>
      <c r="K227" s="283"/>
      <c r="L227" s="84"/>
      <c r="M227" s="84"/>
      <c r="N227" s="84"/>
      <c r="O227" s="234">
        <f t="shared" si="17"/>
        <v>1744</v>
      </c>
      <c r="P227" s="234">
        <f t="shared" si="18"/>
        <v>1456</v>
      </c>
      <c r="Q227" s="234">
        <f t="shared" si="15"/>
        <v>3200</v>
      </c>
      <c r="R227" s="234">
        <f>O227*6</f>
        <v>10464</v>
      </c>
    </row>
    <row r="228" spans="1:18" ht="15.75" customHeight="1">
      <c r="A228" s="174"/>
      <c r="B228" s="310" t="s">
        <v>291</v>
      </c>
      <c r="C228" s="276"/>
      <c r="D228" s="278"/>
      <c r="E228" s="293"/>
      <c r="F228" s="84"/>
      <c r="G228" s="84"/>
      <c r="H228" s="84"/>
      <c r="I228" s="84"/>
      <c r="J228" s="84"/>
      <c r="K228" s="283"/>
      <c r="L228" s="84"/>
      <c r="M228" s="84"/>
      <c r="N228" s="84"/>
      <c r="O228" s="234"/>
      <c r="P228" s="234"/>
      <c r="Q228" s="234"/>
      <c r="R228" s="234"/>
    </row>
    <row r="229" spans="1:19" ht="27" customHeight="1">
      <c r="A229" s="174">
        <v>22</v>
      </c>
      <c r="B229" s="280" t="s">
        <v>130</v>
      </c>
      <c r="C229" s="276">
        <v>1</v>
      </c>
      <c r="D229" s="226">
        <f>D202*95%</f>
        <v>4560</v>
      </c>
      <c r="E229" s="291" t="s">
        <v>332</v>
      </c>
      <c r="F229" s="84">
        <f>D229*20%</f>
        <v>912</v>
      </c>
      <c r="G229" s="84">
        <f>D229*5%</f>
        <v>228</v>
      </c>
      <c r="H229" s="84"/>
      <c r="I229" s="84"/>
      <c r="J229" s="84"/>
      <c r="K229" s="283"/>
      <c r="L229" s="84"/>
      <c r="M229" s="84"/>
      <c r="N229" s="84"/>
      <c r="O229" s="234">
        <f t="shared" si="17"/>
        <v>5700</v>
      </c>
      <c r="P229" s="234"/>
      <c r="Q229" s="234">
        <f t="shared" si="15"/>
        <v>5700</v>
      </c>
      <c r="R229" s="234">
        <f t="shared" si="16"/>
        <v>68400</v>
      </c>
      <c r="S229" s="3">
        <f>D229+D232+D233*C233+D234*C234+D236*C236+D237*C237+D238*C238+D239+I233+I235+I236</f>
        <v>107413.56999999999</v>
      </c>
    </row>
    <row r="230" spans="1:18" ht="27" customHeight="1">
      <c r="A230" s="174">
        <v>23</v>
      </c>
      <c r="B230" s="280" t="s">
        <v>295</v>
      </c>
      <c r="C230" s="276">
        <v>0.5</v>
      </c>
      <c r="D230" s="278">
        <v>3152</v>
      </c>
      <c r="E230" s="293">
        <v>11</v>
      </c>
      <c r="F230" s="84">
        <f>D230*20%</f>
        <v>630.4000000000001</v>
      </c>
      <c r="G230" s="84">
        <f>D230*5%</f>
        <v>157.60000000000002</v>
      </c>
      <c r="H230" s="84"/>
      <c r="I230" s="84"/>
      <c r="J230" s="84"/>
      <c r="K230" s="283"/>
      <c r="L230" s="84"/>
      <c r="M230" s="84"/>
      <c r="N230" s="84"/>
      <c r="O230" s="234">
        <f t="shared" si="17"/>
        <v>2364</v>
      </c>
      <c r="P230" s="234"/>
      <c r="Q230" s="234">
        <f t="shared" si="15"/>
        <v>2364</v>
      </c>
      <c r="R230" s="234">
        <f t="shared" si="16"/>
        <v>28368</v>
      </c>
    </row>
    <row r="231" spans="1:18" ht="16.5" customHeight="1">
      <c r="A231" s="174">
        <v>24</v>
      </c>
      <c r="B231" s="279" t="s">
        <v>203</v>
      </c>
      <c r="C231" s="276">
        <v>1</v>
      </c>
      <c r="D231" s="278">
        <v>2624</v>
      </c>
      <c r="E231" s="302">
        <v>8</v>
      </c>
      <c r="F231" s="84"/>
      <c r="G231" s="84"/>
      <c r="H231" s="84"/>
      <c r="I231" s="84"/>
      <c r="J231" s="84"/>
      <c r="K231" s="283"/>
      <c r="L231" s="84"/>
      <c r="M231" s="84"/>
      <c r="N231" s="84"/>
      <c r="O231" s="234">
        <f t="shared" si="17"/>
        <v>2624</v>
      </c>
      <c r="P231" s="234">
        <f t="shared" si="18"/>
        <v>576</v>
      </c>
      <c r="Q231" s="234">
        <f t="shared" si="15"/>
        <v>3200</v>
      </c>
      <c r="R231" s="234">
        <f t="shared" si="16"/>
        <v>31488</v>
      </c>
    </row>
    <row r="232" spans="1:18" ht="18" customHeight="1">
      <c r="A232" s="174">
        <v>25</v>
      </c>
      <c r="B232" s="162" t="s">
        <v>293</v>
      </c>
      <c r="C232" s="276">
        <v>1</v>
      </c>
      <c r="D232" s="278">
        <v>3632</v>
      </c>
      <c r="E232" s="293">
        <v>13</v>
      </c>
      <c r="F232" s="84">
        <f>D232*C232*20%</f>
        <v>726.4000000000001</v>
      </c>
      <c r="G232" s="84">
        <f>(D232*C232+I232)*5%</f>
        <v>181.60000000000002</v>
      </c>
      <c r="H232" s="84"/>
      <c r="I232" s="84"/>
      <c r="J232" s="84"/>
      <c r="K232" s="283"/>
      <c r="L232" s="84"/>
      <c r="M232" s="84"/>
      <c r="N232" s="84"/>
      <c r="O232" s="234">
        <f t="shared" si="17"/>
        <v>4540</v>
      </c>
      <c r="P232" s="234"/>
      <c r="Q232" s="234">
        <f t="shared" si="15"/>
        <v>4540</v>
      </c>
      <c r="R232" s="234">
        <f t="shared" si="16"/>
        <v>54480</v>
      </c>
    </row>
    <row r="233" spans="1:18" ht="17.25" customHeight="1">
      <c r="A233" s="174">
        <v>26</v>
      </c>
      <c r="B233" s="162" t="s">
        <v>215</v>
      </c>
      <c r="C233" s="276">
        <v>3</v>
      </c>
      <c r="D233" s="278">
        <v>2768</v>
      </c>
      <c r="E233" s="293">
        <v>9</v>
      </c>
      <c r="F233" s="84">
        <v>1177.13</v>
      </c>
      <c r="G233" s="84">
        <f>(D233*C233+I233)*5%</f>
        <v>435.96000000000004</v>
      </c>
      <c r="H233" s="84"/>
      <c r="I233" s="84">
        <f>D233*1.5*10%</f>
        <v>415.20000000000005</v>
      </c>
      <c r="J233" s="84"/>
      <c r="K233" s="84"/>
      <c r="L233" s="84"/>
      <c r="M233" s="84"/>
      <c r="N233" s="283"/>
      <c r="O233" s="234">
        <f t="shared" si="17"/>
        <v>10332.29</v>
      </c>
      <c r="P233" s="234"/>
      <c r="Q233" s="234">
        <f t="shared" si="15"/>
        <v>10332.29</v>
      </c>
      <c r="R233" s="234">
        <f t="shared" si="16"/>
        <v>123987.48000000001</v>
      </c>
    </row>
    <row r="234" spans="1:18" ht="18" customHeight="1">
      <c r="A234" s="174">
        <v>27</v>
      </c>
      <c r="B234" s="162" t="s">
        <v>216</v>
      </c>
      <c r="C234" s="276">
        <v>1.5</v>
      </c>
      <c r="D234" s="278">
        <v>2912</v>
      </c>
      <c r="E234" s="293">
        <v>10</v>
      </c>
      <c r="F234" s="84">
        <f>D234*C234*25%</f>
        <v>1092</v>
      </c>
      <c r="G234" s="84">
        <f>(D234*C234+I234)*5%</f>
        <v>218.4</v>
      </c>
      <c r="H234" s="84"/>
      <c r="I234" s="84"/>
      <c r="J234" s="84"/>
      <c r="K234" s="84"/>
      <c r="L234" s="84"/>
      <c r="M234" s="84"/>
      <c r="N234" s="283"/>
      <c r="O234" s="234">
        <f t="shared" si="17"/>
        <v>5678.4</v>
      </c>
      <c r="P234" s="234"/>
      <c r="Q234" s="234">
        <f t="shared" si="15"/>
        <v>5678.4</v>
      </c>
      <c r="R234" s="234">
        <f t="shared" si="16"/>
        <v>68140.79999999999</v>
      </c>
    </row>
    <row r="235" spans="1:18" ht="17.25" customHeight="1">
      <c r="A235" s="174">
        <v>28</v>
      </c>
      <c r="B235" s="162" t="s">
        <v>150</v>
      </c>
      <c r="C235" s="276">
        <v>2.5</v>
      </c>
      <c r="D235" s="278">
        <v>2320</v>
      </c>
      <c r="E235" s="293">
        <v>6</v>
      </c>
      <c r="F235" s="84">
        <f>(D235*C235+I235)*25%</f>
        <v>1595</v>
      </c>
      <c r="G235" s="84"/>
      <c r="H235" s="84"/>
      <c r="I235" s="84">
        <f>D235*10%*2.5</f>
        <v>580</v>
      </c>
      <c r="J235" s="84"/>
      <c r="K235" s="84"/>
      <c r="L235" s="84"/>
      <c r="M235" s="84"/>
      <c r="N235" s="283"/>
      <c r="O235" s="234">
        <f>D235*C235+F235+G235+H235+I235+K235+L235+M235+N235</f>
        <v>7975</v>
      </c>
      <c r="P235" s="234">
        <f t="shared" si="18"/>
        <v>25</v>
      </c>
      <c r="Q235" s="234">
        <f t="shared" si="15"/>
        <v>8000</v>
      </c>
      <c r="R235" s="234">
        <f t="shared" si="16"/>
        <v>95700</v>
      </c>
    </row>
    <row r="236" spans="1:18" ht="14.25" customHeight="1">
      <c r="A236" s="174">
        <v>29</v>
      </c>
      <c r="B236" s="162" t="s">
        <v>326</v>
      </c>
      <c r="C236" s="84">
        <v>7.5</v>
      </c>
      <c r="D236" s="278">
        <v>3320</v>
      </c>
      <c r="E236" s="448" t="s">
        <v>392</v>
      </c>
      <c r="F236" s="84">
        <f>(D236*C236+I236)*22%</f>
        <v>5541.0014</v>
      </c>
      <c r="G236" s="84">
        <f>(D236*C236+I236)*5%</f>
        <v>1259.3185</v>
      </c>
      <c r="H236" s="84"/>
      <c r="I236" s="84">
        <v>286.37</v>
      </c>
      <c r="J236" s="84"/>
      <c r="K236" s="84"/>
      <c r="L236" s="84"/>
      <c r="M236" s="84"/>
      <c r="N236" s="283"/>
      <c r="O236" s="234">
        <f t="shared" si="17"/>
        <v>31986.6899</v>
      </c>
      <c r="P236" s="234"/>
      <c r="Q236" s="234">
        <f t="shared" si="15"/>
        <v>31986.6899</v>
      </c>
      <c r="R236" s="234">
        <f t="shared" si="16"/>
        <v>383840.27880000003</v>
      </c>
    </row>
    <row r="237" spans="1:18" ht="17.25" customHeight="1">
      <c r="A237" s="174">
        <v>30</v>
      </c>
      <c r="B237" s="162" t="s">
        <v>327</v>
      </c>
      <c r="C237" s="276">
        <v>17.5</v>
      </c>
      <c r="D237" s="278">
        <v>3152</v>
      </c>
      <c r="E237" s="293">
        <v>11</v>
      </c>
      <c r="F237" s="84">
        <f>D237*C237*15%</f>
        <v>8274</v>
      </c>
      <c r="G237" s="84">
        <f>(D237*C237+I237)*5%</f>
        <v>2758</v>
      </c>
      <c r="H237" s="84"/>
      <c r="I237" s="84"/>
      <c r="J237" s="84"/>
      <c r="K237" s="84"/>
      <c r="L237" s="84"/>
      <c r="M237" s="84"/>
      <c r="N237" s="283"/>
      <c r="O237" s="234">
        <f t="shared" si="17"/>
        <v>66192</v>
      </c>
      <c r="P237" s="234"/>
      <c r="Q237" s="234">
        <f t="shared" si="15"/>
        <v>66192</v>
      </c>
      <c r="R237" s="234">
        <f t="shared" si="16"/>
        <v>794304</v>
      </c>
    </row>
    <row r="238" spans="1:18" ht="15" customHeight="1">
      <c r="A238" s="174">
        <v>31</v>
      </c>
      <c r="B238" s="162" t="s">
        <v>145</v>
      </c>
      <c r="C238" s="276">
        <v>0.5</v>
      </c>
      <c r="D238" s="278">
        <v>3632</v>
      </c>
      <c r="E238" s="293">
        <v>13</v>
      </c>
      <c r="F238" s="84">
        <f>(D238*C238+I238)*30%</f>
        <v>544.8</v>
      </c>
      <c r="G238" s="84">
        <f>(D238*C238+I238)*5%</f>
        <v>90.80000000000001</v>
      </c>
      <c r="H238" s="84"/>
      <c r="I238" s="84"/>
      <c r="J238" s="84"/>
      <c r="K238" s="84"/>
      <c r="L238" s="84"/>
      <c r="M238" s="84"/>
      <c r="N238" s="283"/>
      <c r="O238" s="234">
        <f t="shared" si="17"/>
        <v>2451.6000000000004</v>
      </c>
      <c r="P238" s="234"/>
      <c r="Q238" s="234">
        <f t="shared" si="15"/>
        <v>2451.6000000000004</v>
      </c>
      <c r="R238" s="234">
        <f t="shared" si="16"/>
        <v>29419.200000000004</v>
      </c>
    </row>
    <row r="239" spans="1:18" ht="15" customHeight="1">
      <c r="A239" s="174">
        <v>32</v>
      </c>
      <c r="B239" s="162" t="s">
        <v>220</v>
      </c>
      <c r="C239" s="276">
        <v>1</v>
      </c>
      <c r="D239" s="278">
        <v>3392</v>
      </c>
      <c r="E239" s="293">
        <v>12</v>
      </c>
      <c r="F239" s="84">
        <f>(D239*C239+I239)*20%</f>
        <v>678.4000000000001</v>
      </c>
      <c r="G239" s="84">
        <f>(D239*C239+I239)*5%</f>
        <v>169.60000000000002</v>
      </c>
      <c r="H239" s="84"/>
      <c r="I239" s="84"/>
      <c r="J239" s="84"/>
      <c r="K239" s="84"/>
      <c r="L239" s="84"/>
      <c r="M239" s="84"/>
      <c r="N239" s="283"/>
      <c r="O239" s="234">
        <f t="shared" si="17"/>
        <v>4240</v>
      </c>
      <c r="P239" s="234"/>
      <c r="Q239" s="234">
        <f t="shared" si="15"/>
        <v>4240</v>
      </c>
      <c r="R239" s="234">
        <f t="shared" si="16"/>
        <v>50880</v>
      </c>
    </row>
    <row r="240" spans="1:19" ht="31.5" customHeight="1">
      <c r="A240" s="174">
        <v>33</v>
      </c>
      <c r="B240" s="281" t="s">
        <v>328</v>
      </c>
      <c r="C240" s="84">
        <v>11.15</v>
      </c>
      <c r="D240" s="278">
        <v>2320</v>
      </c>
      <c r="E240" s="293">
        <v>6</v>
      </c>
      <c r="F240" s="84"/>
      <c r="G240" s="84"/>
      <c r="H240" s="84"/>
      <c r="I240" s="84"/>
      <c r="J240" s="84"/>
      <c r="K240" s="84"/>
      <c r="L240" s="84"/>
      <c r="M240" s="84"/>
      <c r="N240" s="283"/>
      <c r="O240" s="234">
        <f t="shared" si="17"/>
        <v>25868</v>
      </c>
      <c r="P240" s="234">
        <f t="shared" si="18"/>
        <v>9812</v>
      </c>
      <c r="Q240" s="234">
        <f t="shared" si="15"/>
        <v>35680</v>
      </c>
      <c r="R240" s="234">
        <f t="shared" si="16"/>
        <v>310416</v>
      </c>
      <c r="S240" s="3">
        <f>D235*C235+D240*C240+D241*C241+D242*C242+D243*C243+D244*C244+D245*C245+D246+D247*C247+D248+D249+D250+N242+N243+D231</f>
        <v>82201.6</v>
      </c>
    </row>
    <row r="241" spans="1:18" ht="31.5" customHeight="1">
      <c r="A241" s="174">
        <v>34</v>
      </c>
      <c r="B241" s="281" t="s">
        <v>218</v>
      </c>
      <c r="C241" s="84">
        <v>5.25</v>
      </c>
      <c r="D241" s="278">
        <v>2320</v>
      </c>
      <c r="E241" s="293">
        <v>6</v>
      </c>
      <c r="F241" s="84"/>
      <c r="G241" s="84"/>
      <c r="H241" s="84"/>
      <c r="I241" s="84"/>
      <c r="J241" s="84"/>
      <c r="K241" s="84"/>
      <c r="L241" s="84"/>
      <c r="M241" s="84"/>
      <c r="N241" s="283"/>
      <c r="O241" s="234">
        <f t="shared" si="17"/>
        <v>12180</v>
      </c>
      <c r="P241" s="234">
        <f t="shared" si="18"/>
        <v>4620</v>
      </c>
      <c r="Q241" s="234">
        <f t="shared" si="15"/>
        <v>16800</v>
      </c>
      <c r="R241" s="234">
        <f t="shared" si="16"/>
        <v>146160</v>
      </c>
    </row>
    <row r="242" spans="1:18" ht="13.5" customHeight="1">
      <c r="A242" s="174">
        <v>35</v>
      </c>
      <c r="B242" s="162" t="s">
        <v>25</v>
      </c>
      <c r="C242" s="276">
        <v>4</v>
      </c>
      <c r="D242" s="278">
        <v>2176</v>
      </c>
      <c r="E242" s="293">
        <v>5</v>
      </c>
      <c r="F242" s="84"/>
      <c r="G242" s="84"/>
      <c r="H242" s="84"/>
      <c r="I242" s="84"/>
      <c r="J242" s="84"/>
      <c r="K242" s="84">
        <f>D242*C242*12%</f>
        <v>1044.48</v>
      </c>
      <c r="L242" s="84"/>
      <c r="M242" s="84"/>
      <c r="N242" s="283">
        <f>D242*C242*15%</f>
        <v>1305.6</v>
      </c>
      <c r="O242" s="234">
        <f t="shared" si="17"/>
        <v>11054.08</v>
      </c>
      <c r="P242" s="234">
        <f t="shared" si="18"/>
        <v>3051.5200000000004</v>
      </c>
      <c r="Q242" s="234">
        <f t="shared" si="15"/>
        <v>14105.6</v>
      </c>
      <c r="R242" s="234">
        <f t="shared" si="16"/>
        <v>132648.96</v>
      </c>
    </row>
    <row r="243" spans="1:18" ht="15.75" customHeight="1">
      <c r="A243" s="174">
        <v>36</v>
      </c>
      <c r="B243" s="162" t="s">
        <v>151</v>
      </c>
      <c r="C243" s="276">
        <v>1.5</v>
      </c>
      <c r="D243" s="278">
        <v>1600</v>
      </c>
      <c r="E243" s="293">
        <v>1</v>
      </c>
      <c r="F243" s="84"/>
      <c r="G243" s="84"/>
      <c r="H243" s="84"/>
      <c r="I243" s="84"/>
      <c r="J243" s="84"/>
      <c r="K243" s="84">
        <f>D243*C243*12%</f>
        <v>288</v>
      </c>
      <c r="L243" s="84"/>
      <c r="M243" s="84"/>
      <c r="N243" s="283">
        <f>D243*C243*15%</f>
        <v>360</v>
      </c>
      <c r="O243" s="234">
        <f t="shared" si="17"/>
        <v>3048</v>
      </c>
      <c r="P243" s="234">
        <f t="shared" si="18"/>
        <v>2112</v>
      </c>
      <c r="Q243" s="234">
        <f t="shared" si="15"/>
        <v>5160</v>
      </c>
      <c r="R243" s="234">
        <f t="shared" si="16"/>
        <v>36576</v>
      </c>
    </row>
    <row r="244" spans="1:18" ht="38.25" customHeight="1">
      <c r="A244" s="174">
        <v>37</v>
      </c>
      <c r="B244" s="281" t="s">
        <v>329</v>
      </c>
      <c r="C244" s="84">
        <v>1.5</v>
      </c>
      <c r="D244" s="278">
        <v>2032</v>
      </c>
      <c r="E244" s="293">
        <v>4</v>
      </c>
      <c r="F244" s="84"/>
      <c r="G244" s="84"/>
      <c r="H244" s="84"/>
      <c r="I244" s="84"/>
      <c r="J244" s="84"/>
      <c r="K244" s="84"/>
      <c r="L244" s="84"/>
      <c r="M244" s="84"/>
      <c r="N244" s="283"/>
      <c r="O244" s="234">
        <f t="shared" si="17"/>
        <v>3048</v>
      </c>
      <c r="P244" s="234">
        <f t="shared" si="18"/>
        <v>1752</v>
      </c>
      <c r="Q244" s="234">
        <f t="shared" si="15"/>
        <v>4800</v>
      </c>
      <c r="R244" s="234">
        <f t="shared" si="16"/>
        <v>36576</v>
      </c>
    </row>
    <row r="245" spans="1:18" ht="30.75" customHeight="1">
      <c r="A245" s="174">
        <v>38</v>
      </c>
      <c r="B245" s="281" t="s">
        <v>333</v>
      </c>
      <c r="C245" s="276">
        <v>2.5</v>
      </c>
      <c r="D245" s="278">
        <v>1744</v>
      </c>
      <c r="E245" s="293">
        <v>2</v>
      </c>
      <c r="F245" s="84"/>
      <c r="G245" s="84"/>
      <c r="H245" s="84"/>
      <c r="I245" s="84"/>
      <c r="J245" s="84"/>
      <c r="K245" s="84">
        <f>D245*C245*12%</f>
        <v>523.1999999999999</v>
      </c>
      <c r="L245" s="84"/>
      <c r="M245" s="84"/>
      <c r="N245" s="283"/>
      <c r="O245" s="234">
        <f t="shared" si="17"/>
        <v>4883.2</v>
      </c>
      <c r="P245" s="234">
        <f t="shared" si="18"/>
        <v>3116.8</v>
      </c>
      <c r="Q245" s="234">
        <f t="shared" si="15"/>
        <v>8000</v>
      </c>
      <c r="R245" s="234">
        <f t="shared" si="16"/>
        <v>58598.399999999994</v>
      </c>
    </row>
    <row r="246" spans="1:18" ht="14.25" customHeight="1">
      <c r="A246" s="174">
        <v>39</v>
      </c>
      <c r="B246" s="281" t="s">
        <v>30</v>
      </c>
      <c r="C246" s="276">
        <v>1</v>
      </c>
      <c r="D246" s="278">
        <v>1600</v>
      </c>
      <c r="E246" s="293">
        <v>1</v>
      </c>
      <c r="F246" s="84"/>
      <c r="G246" s="84"/>
      <c r="H246" s="84"/>
      <c r="I246" s="84"/>
      <c r="J246" s="84"/>
      <c r="K246" s="84"/>
      <c r="L246" s="84"/>
      <c r="M246" s="84"/>
      <c r="N246" s="283"/>
      <c r="O246" s="234">
        <f t="shared" si="17"/>
        <v>1600</v>
      </c>
      <c r="P246" s="234">
        <f t="shared" si="18"/>
        <v>1600</v>
      </c>
      <c r="Q246" s="234">
        <f t="shared" si="15"/>
        <v>3200</v>
      </c>
      <c r="R246" s="234">
        <f t="shared" si="16"/>
        <v>19200</v>
      </c>
    </row>
    <row r="247" spans="1:18" ht="15" customHeight="1">
      <c r="A247" s="174">
        <v>40</v>
      </c>
      <c r="B247" s="281" t="s">
        <v>27</v>
      </c>
      <c r="C247" s="84">
        <v>5</v>
      </c>
      <c r="D247" s="278">
        <v>1744</v>
      </c>
      <c r="E247" s="293">
        <v>2</v>
      </c>
      <c r="F247" s="84"/>
      <c r="G247" s="84"/>
      <c r="H247" s="84"/>
      <c r="I247" s="84"/>
      <c r="J247" s="84"/>
      <c r="K247" s="84"/>
      <c r="L247" s="84"/>
      <c r="M247" s="84">
        <f>C247*D247*40%</f>
        <v>3488</v>
      </c>
      <c r="N247" s="283"/>
      <c r="O247" s="234">
        <f t="shared" si="17"/>
        <v>12208</v>
      </c>
      <c r="P247" s="234">
        <f t="shared" si="18"/>
        <v>7280</v>
      </c>
      <c r="Q247" s="234">
        <f t="shared" si="15"/>
        <v>19488</v>
      </c>
      <c r="R247" s="234">
        <f t="shared" si="16"/>
        <v>146496</v>
      </c>
    </row>
    <row r="248" spans="1:18" ht="27" customHeight="1">
      <c r="A248" s="174">
        <v>41</v>
      </c>
      <c r="B248" s="281" t="s">
        <v>193</v>
      </c>
      <c r="C248" s="276">
        <v>1</v>
      </c>
      <c r="D248" s="278">
        <v>1744</v>
      </c>
      <c r="E248" s="293">
        <v>2</v>
      </c>
      <c r="F248" s="84"/>
      <c r="G248" s="84"/>
      <c r="H248" s="84"/>
      <c r="I248" s="84"/>
      <c r="J248" s="84"/>
      <c r="K248" s="84"/>
      <c r="L248" s="84">
        <f>D248*10%</f>
        <v>174.4</v>
      </c>
      <c r="M248" s="84"/>
      <c r="N248" s="283"/>
      <c r="O248" s="234">
        <f t="shared" si="17"/>
        <v>1918.4</v>
      </c>
      <c r="P248" s="234">
        <f t="shared" si="18"/>
        <v>1456</v>
      </c>
      <c r="Q248" s="234">
        <f t="shared" si="15"/>
        <v>3374.4</v>
      </c>
      <c r="R248" s="234">
        <f t="shared" si="16"/>
        <v>23020.800000000003</v>
      </c>
    </row>
    <row r="249" spans="1:24" ht="17.25" customHeight="1">
      <c r="A249" s="174">
        <v>42</v>
      </c>
      <c r="B249" s="162" t="s">
        <v>31</v>
      </c>
      <c r="C249" s="276">
        <v>1</v>
      </c>
      <c r="D249" s="278">
        <v>1744</v>
      </c>
      <c r="E249" s="293">
        <v>2</v>
      </c>
      <c r="F249" s="84"/>
      <c r="G249" s="84"/>
      <c r="H249" s="84"/>
      <c r="I249" s="84"/>
      <c r="J249" s="84"/>
      <c r="K249" s="84"/>
      <c r="L249" s="84"/>
      <c r="M249" s="84"/>
      <c r="N249" s="283"/>
      <c r="O249" s="234">
        <f>D249*C249+F249+G249+H249+I249+K249+L249+M249+N249</f>
        <v>1744</v>
      </c>
      <c r="P249" s="234">
        <f t="shared" si="18"/>
        <v>1456</v>
      </c>
      <c r="Q249" s="234">
        <f t="shared" si="15"/>
        <v>3200</v>
      </c>
      <c r="R249" s="234">
        <f t="shared" si="16"/>
        <v>20928</v>
      </c>
      <c r="T249" s="172"/>
      <c r="X249" s="3">
        <f>O204/C204*0.5+O218/C218*0.5+O219/C219*2.75+O222/C222*2+O224/C224+O233+O234+O235+O236+O237+O238+O239+O240+O241+O245</f>
        <v>189972.85323333336</v>
      </c>
    </row>
    <row r="250" spans="1:20" ht="15">
      <c r="A250" s="174">
        <v>43</v>
      </c>
      <c r="B250" s="281" t="s">
        <v>294</v>
      </c>
      <c r="C250" s="84">
        <v>1</v>
      </c>
      <c r="D250" s="278">
        <v>1744</v>
      </c>
      <c r="E250" s="293">
        <v>2</v>
      </c>
      <c r="F250" s="84"/>
      <c r="G250" s="84"/>
      <c r="H250" s="84"/>
      <c r="I250" s="84"/>
      <c r="J250" s="84"/>
      <c r="K250" s="84"/>
      <c r="L250" s="84"/>
      <c r="M250" s="84"/>
      <c r="N250" s="283"/>
      <c r="O250" s="234">
        <f>D250*C250+F250+G250+H250+I250+K250+L250+M250+N250</f>
        <v>1744</v>
      </c>
      <c r="P250" s="234">
        <f t="shared" si="18"/>
        <v>1456</v>
      </c>
      <c r="Q250" s="234">
        <f t="shared" si="15"/>
        <v>3200</v>
      </c>
      <c r="R250" s="234">
        <f t="shared" si="16"/>
        <v>20928</v>
      </c>
      <c r="T250" s="172"/>
    </row>
    <row r="251" spans="1:23" ht="15">
      <c r="A251" s="162"/>
      <c r="B251" s="162" t="s">
        <v>15</v>
      </c>
      <c r="C251" s="168">
        <f>SUM(C202:C250)</f>
        <v>105.65</v>
      </c>
      <c r="D251" s="411">
        <f>D202+D204*C204+D206+D207*C207+D208+D209+D210*C210+D211+D212+D213+D214+D215+D216+D217*C217+D218*C218+D219*C219+D220*C220+D222*C222+D223+D224+D225+D226+D227+D229+D231+D232+D233*C233+D234*C234+D235*C235+D236*C236+D237*C237+D238*C238+D239*C239+D240*C240+D241*C241+D242*C242+D243*C243+D244+D245*C245+D246+D247*C247+D248+D249*C249+D250</f>
        <v>274000</v>
      </c>
      <c r="E251" s="284"/>
      <c r="F251" s="84">
        <f aca="true" t="shared" si="19" ref="F251:R251">SUM(F202:F250)</f>
        <v>31292.9314</v>
      </c>
      <c r="G251" s="84">
        <f t="shared" si="19"/>
        <v>7352.878500000001</v>
      </c>
      <c r="H251" s="84">
        <f t="shared" si="19"/>
        <v>508.79999999999995</v>
      </c>
      <c r="I251" s="84">
        <f t="shared" si="19"/>
        <v>1281.5700000000002</v>
      </c>
      <c r="J251" s="84">
        <f t="shared" si="19"/>
        <v>468</v>
      </c>
      <c r="K251" s="84">
        <f t="shared" si="19"/>
        <v>2831.04</v>
      </c>
      <c r="L251" s="84">
        <f t="shared" si="19"/>
        <v>1918.4</v>
      </c>
      <c r="M251" s="84">
        <f t="shared" si="19"/>
        <v>5232</v>
      </c>
      <c r="N251" s="84">
        <f t="shared" si="19"/>
        <v>3503.6800000000003</v>
      </c>
      <c r="O251" s="168">
        <f t="shared" si="19"/>
        <v>328701.29990000004</v>
      </c>
      <c r="P251" s="168">
        <f>SUM(P202:P250)</f>
        <v>66769.96</v>
      </c>
      <c r="Q251" s="168">
        <f>SUM(Q202:Q250)</f>
        <v>395471.25989999995</v>
      </c>
      <c r="R251" s="168">
        <f t="shared" si="19"/>
        <v>3908511.5988000003</v>
      </c>
      <c r="W251" s="16">
        <f>SUM(O216:O224)+O212+O213+O240+O241+O245+O249</f>
        <v>92496.96</v>
      </c>
    </row>
    <row r="252" spans="1:18" ht="17.25" customHeight="1">
      <c r="A252" s="172"/>
      <c r="B252" s="172"/>
      <c r="C252" s="172"/>
      <c r="D252" s="172"/>
      <c r="E252" s="175"/>
      <c r="F252" s="172"/>
      <c r="G252" s="172"/>
      <c r="H252" s="172"/>
      <c r="I252" s="172"/>
      <c r="J252" s="172"/>
      <c r="K252" s="172"/>
      <c r="L252" s="172"/>
      <c r="M252" s="172"/>
      <c r="N252" s="172"/>
      <c r="O252" s="172"/>
      <c r="P252" s="172"/>
      <c r="Q252" s="172"/>
      <c r="R252" s="172"/>
    </row>
    <row r="253" spans="1:22" ht="1.5" customHeight="1" hidden="1">
      <c r="A253" s="198"/>
      <c r="B253" s="198"/>
      <c r="C253" s="198"/>
      <c r="D253" s="198"/>
      <c r="E253" s="198"/>
      <c r="F253" s="198"/>
      <c r="G253" s="198"/>
      <c r="H253" s="198"/>
      <c r="I253" s="198"/>
      <c r="J253" s="198"/>
      <c r="K253" s="198"/>
      <c r="L253" s="198"/>
      <c r="M253" s="198"/>
      <c r="N253" s="198"/>
      <c r="O253" s="198"/>
      <c r="P253" s="198"/>
      <c r="Q253" s="198"/>
      <c r="R253" s="198"/>
      <c r="S253" s="2"/>
      <c r="T253" s="2"/>
      <c r="U253" s="2"/>
      <c r="V253" s="2"/>
    </row>
    <row r="254" spans="1:22" ht="37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18" ht="14.25" customHeight="1">
      <c r="A255" s="172"/>
      <c r="B255" s="172"/>
      <c r="C255" s="200" t="s">
        <v>371</v>
      </c>
      <c r="D255" s="200"/>
      <c r="E255" s="200"/>
      <c r="F255" s="200"/>
      <c r="G255" s="200"/>
      <c r="H255" s="200"/>
      <c r="I255" s="200"/>
      <c r="J255" s="200"/>
      <c r="K255" s="198" t="s">
        <v>372</v>
      </c>
      <c r="L255" s="198"/>
      <c r="M255" s="198"/>
      <c r="N255" s="198"/>
      <c r="O255" s="172"/>
      <c r="P255" s="172"/>
      <c r="Q255" s="172"/>
      <c r="R255" s="172"/>
    </row>
    <row r="256" spans="1:18" ht="18.75">
      <c r="A256" s="198"/>
      <c r="B256" s="232"/>
      <c r="C256" s="232"/>
      <c r="D256" s="232"/>
      <c r="E256" s="232"/>
      <c r="F256" s="232"/>
      <c r="G256" s="232"/>
      <c r="H256" s="232"/>
      <c r="I256" s="232"/>
      <c r="J256" s="232"/>
      <c r="K256" s="232"/>
      <c r="L256" s="232"/>
      <c r="M256" s="232"/>
      <c r="N256" s="198"/>
      <c r="O256" s="198"/>
      <c r="P256" s="198"/>
      <c r="Q256" s="198"/>
      <c r="R256" s="198"/>
    </row>
    <row r="257" spans="1:18" ht="9" customHeight="1">
      <c r="A257" s="469"/>
      <c r="B257" s="469"/>
      <c r="C257" s="469"/>
      <c r="D257" s="469"/>
      <c r="E257" s="469"/>
      <c r="F257" s="469"/>
      <c r="G257" s="469"/>
      <c r="H257" s="469"/>
      <c r="I257" s="469"/>
      <c r="J257" s="469"/>
      <c r="K257" s="469"/>
      <c r="L257" s="469"/>
      <c r="M257" s="469"/>
      <c r="N257" s="469"/>
      <c r="O257" s="469"/>
      <c r="P257" s="469"/>
      <c r="Q257" s="469"/>
      <c r="R257" s="469"/>
    </row>
    <row r="258" spans="1:18" ht="15">
      <c r="A258" s="172"/>
      <c r="B258" s="418" t="s">
        <v>368</v>
      </c>
      <c r="C258" s="172"/>
      <c r="D258" s="172"/>
      <c r="E258" s="172"/>
      <c r="F258" s="172"/>
      <c r="G258" s="172"/>
      <c r="H258" s="172"/>
      <c r="I258" s="172"/>
      <c r="J258" s="172"/>
      <c r="K258" s="172"/>
      <c r="L258" s="172"/>
      <c r="M258" s="172"/>
      <c r="N258" s="172"/>
      <c r="O258" s="172"/>
      <c r="P258" s="172"/>
      <c r="Q258" s="172"/>
      <c r="R258" s="172"/>
    </row>
    <row r="259" spans="2:5" ht="15">
      <c r="B259" s="194">
        <v>42041</v>
      </c>
      <c r="E259" s="3"/>
    </row>
    <row r="260" ht="2.25" customHeight="1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.5" customHeight="1" hidden="1"/>
    <row r="276" ht="15" hidden="1"/>
    <row r="277" ht="15" hidden="1"/>
    <row r="278" spans="7:11" ht="18" customHeight="1">
      <c r="G278" s="196"/>
      <c r="K278" s="172" t="s">
        <v>141</v>
      </c>
    </row>
    <row r="279" spans="1:18" ht="15">
      <c r="A279" s="172"/>
      <c r="B279" s="172"/>
      <c r="C279" s="172"/>
      <c r="D279" s="172"/>
      <c r="E279" s="175"/>
      <c r="F279" s="172"/>
      <c r="G279" s="172"/>
      <c r="H279" s="172"/>
      <c r="I279" s="198"/>
      <c r="J279" s="198"/>
      <c r="K279" s="198" t="s">
        <v>366</v>
      </c>
      <c r="L279" s="198"/>
      <c r="M279" s="198"/>
      <c r="N279" s="198"/>
      <c r="O279" s="172"/>
      <c r="P279" s="172"/>
      <c r="Q279" s="172"/>
      <c r="R279" s="172"/>
    </row>
    <row r="280" spans="1:18" ht="15">
      <c r="A280" s="172"/>
      <c r="B280" s="172"/>
      <c r="C280" s="172"/>
      <c r="D280" s="172"/>
      <c r="E280" s="175"/>
      <c r="F280" s="172"/>
      <c r="G280" s="172"/>
      <c r="H280" s="172"/>
      <c r="I280" s="172"/>
      <c r="J280" s="172"/>
      <c r="K280" s="172" t="s">
        <v>410</v>
      </c>
      <c r="L280" s="172"/>
      <c r="M280" s="172"/>
      <c r="N280" s="172"/>
      <c r="O280" s="198"/>
      <c r="P280" s="198"/>
      <c r="Q280" s="198"/>
      <c r="R280" s="198"/>
    </row>
    <row r="281" spans="1:18" ht="16.5">
      <c r="A281" s="172"/>
      <c r="B281" s="459" t="s">
        <v>365</v>
      </c>
      <c r="C281" s="235"/>
      <c r="D281" s="172"/>
      <c r="E281" s="175"/>
      <c r="F281" s="172"/>
      <c r="G281" s="172"/>
      <c r="H281" s="172"/>
      <c r="I281" s="172"/>
      <c r="J281" s="172"/>
      <c r="K281" s="172" t="s">
        <v>411</v>
      </c>
      <c r="L281" s="172"/>
      <c r="M281" s="172"/>
      <c r="N281" s="172"/>
      <c r="O281" s="172"/>
      <c r="P281" s="172"/>
      <c r="Q281" s="172"/>
      <c r="R281" s="172"/>
    </row>
    <row r="282" spans="1:18" ht="42.75" customHeight="1">
      <c r="A282" s="172"/>
      <c r="B282" s="689" t="s">
        <v>302</v>
      </c>
      <c r="C282" s="689"/>
      <c r="D282" s="689"/>
      <c r="E282" s="689"/>
      <c r="F282" s="689"/>
      <c r="G282" s="689"/>
      <c r="H282" s="689"/>
      <c r="I282" s="689"/>
      <c r="J282" s="172"/>
      <c r="K282" s="172"/>
      <c r="L282" s="172"/>
      <c r="M282" s="172"/>
      <c r="N282" s="172"/>
      <c r="O282" s="172"/>
      <c r="P282" s="172"/>
      <c r="Q282" s="172"/>
      <c r="R282" s="172"/>
    </row>
    <row r="283" spans="1:18" ht="15">
      <c r="A283" s="172"/>
      <c r="B283" s="172" t="s">
        <v>16</v>
      </c>
      <c r="C283" s="172"/>
      <c r="D283" s="172"/>
      <c r="E283" s="175"/>
      <c r="F283" s="172"/>
      <c r="G283" s="172"/>
      <c r="H283" s="172"/>
      <c r="I283" s="176"/>
      <c r="J283" s="176"/>
      <c r="K283" s="176"/>
      <c r="L283" s="176"/>
      <c r="M283" s="176"/>
      <c r="N283" s="176"/>
      <c r="O283" s="176"/>
      <c r="P283" s="176"/>
      <c r="Q283" s="176"/>
      <c r="R283" s="172"/>
    </row>
    <row r="284" spans="1:18" ht="15">
      <c r="A284" s="172"/>
      <c r="B284" s="172"/>
      <c r="C284" s="172"/>
      <c r="D284" s="172"/>
      <c r="E284" s="175"/>
      <c r="F284" s="172"/>
      <c r="G284" s="172"/>
      <c r="H284" s="172"/>
      <c r="I284" s="176"/>
      <c r="J284" s="176"/>
      <c r="K284" s="176"/>
      <c r="L284" s="176"/>
      <c r="M284" s="176"/>
      <c r="N284" s="176"/>
      <c r="O284" s="176"/>
      <c r="P284" s="176"/>
      <c r="Q284" s="176"/>
      <c r="R284" s="172"/>
    </row>
    <row r="285" spans="1:18" ht="15">
      <c r="A285" s="172"/>
      <c r="B285" s="172"/>
      <c r="C285" s="172"/>
      <c r="D285" s="172"/>
      <c r="E285" s="175"/>
      <c r="F285" s="172"/>
      <c r="G285" s="172"/>
      <c r="H285" s="172"/>
      <c r="I285" s="172"/>
      <c r="J285" s="172"/>
      <c r="K285" s="172"/>
      <c r="L285" s="172"/>
      <c r="M285" s="172"/>
      <c r="N285" s="172"/>
      <c r="O285" s="172"/>
      <c r="P285" s="172"/>
      <c r="Q285" s="172"/>
      <c r="R285" s="172"/>
    </row>
    <row r="286" spans="1:18" ht="15">
      <c r="A286" s="172"/>
      <c r="B286" s="172"/>
      <c r="C286" s="172"/>
      <c r="D286" s="172"/>
      <c r="E286" s="175"/>
      <c r="F286" s="172"/>
      <c r="G286" s="172"/>
      <c r="H286" s="172"/>
      <c r="I286" s="172"/>
      <c r="J286" s="172"/>
      <c r="K286" s="172"/>
      <c r="L286" s="172"/>
      <c r="M286" s="172"/>
      <c r="N286" s="172"/>
      <c r="O286" s="172"/>
      <c r="P286" s="172"/>
      <c r="Q286" s="172"/>
      <c r="R286" s="172"/>
    </row>
    <row r="287" spans="1:18" ht="12.75" customHeight="1">
      <c r="A287" s="654" t="s">
        <v>1</v>
      </c>
      <c r="B287" s="236" t="s">
        <v>2</v>
      </c>
      <c r="C287" s="237" t="s">
        <v>4</v>
      </c>
      <c r="D287" s="504" t="s">
        <v>321</v>
      </c>
      <c r="E287" s="504" t="s">
        <v>322</v>
      </c>
      <c r="F287" s="562" t="s">
        <v>7</v>
      </c>
      <c r="G287" s="562"/>
      <c r="H287" s="562"/>
      <c r="I287" s="562"/>
      <c r="J287" s="238"/>
      <c r="K287" s="239"/>
      <c r="L287" s="562" t="s">
        <v>8</v>
      </c>
      <c r="M287" s="562"/>
      <c r="N287" s="562"/>
      <c r="O287" s="240" t="s">
        <v>10</v>
      </c>
      <c r="P287" s="493" t="s">
        <v>339</v>
      </c>
      <c r="Q287" s="473" t="s">
        <v>340</v>
      </c>
      <c r="R287" s="237" t="s">
        <v>13</v>
      </c>
    </row>
    <row r="288" spans="1:18" ht="12.75" customHeight="1">
      <c r="A288" s="655"/>
      <c r="B288" s="242" t="s">
        <v>3</v>
      </c>
      <c r="C288" s="242" t="s">
        <v>5</v>
      </c>
      <c r="D288" s="504"/>
      <c r="E288" s="504"/>
      <c r="F288" s="480" t="s">
        <v>18</v>
      </c>
      <c r="G288" s="523" t="s">
        <v>389</v>
      </c>
      <c r="H288" s="557" t="s">
        <v>243</v>
      </c>
      <c r="I288" s="696"/>
      <c r="J288" s="696" t="s">
        <v>253</v>
      </c>
      <c r="K288" s="498" t="s">
        <v>195</v>
      </c>
      <c r="L288" s="483" t="s">
        <v>113</v>
      </c>
      <c r="M288" s="657" t="s">
        <v>341</v>
      </c>
      <c r="N288" s="557" t="s">
        <v>232</v>
      </c>
      <c r="O288" s="176" t="s">
        <v>11</v>
      </c>
      <c r="P288" s="494"/>
      <c r="Q288" s="474"/>
      <c r="R288" s="243" t="s">
        <v>11</v>
      </c>
    </row>
    <row r="289" spans="1:18" ht="15">
      <c r="A289" s="655"/>
      <c r="B289" s="242"/>
      <c r="C289" s="242" t="s">
        <v>6</v>
      </c>
      <c r="D289" s="504"/>
      <c r="E289" s="504"/>
      <c r="F289" s="480"/>
      <c r="G289" s="483"/>
      <c r="H289" s="558"/>
      <c r="I289" s="697"/>
      <c r="J289" s="697"/>
      <c r="K289" s="499"/>
      <c r="L289" s="483"/>
      <c r="M289" s="658"/>
      <c r="N289" s="558"/>
      <c r="O289" s="245" t="s">
        <v>12</v>
      </c>
      <c r="P289" s="494"/>
      <c r="Q289" s="474"/>
      <c r="R289" s="243" t="s">
        <v>14</v>
      </c>
    </row>
    <row r="290" spans="1:18" ht="15">
      <c r="A290" s="241"/>
      <c r="B290" s="242"/>
      <c r="C290" s="242"/>
      <c r="D290" s="504"/>
      <c r="E290" s="504"/>
      <c r="F290" s="480"/>
      <c r="G290" s="483"/>
      <c r="H290" s="558"/>
      <c r="I290" s="697"/>
      <c r="J290" s="697"/>
      <c r="K290" s="499"/>
      <c r="L290" s="483"/>
      <c r="M290" s="658"/>
      <c r="N290" s="558"/>
      <c r="O290" s="245" t="s">
        <v>115</v>
      </c>
      <c r="P290" s="494"/>
      <c r="Q290" s="474"/>
      <c r="R290" s="243" t="s">
        <v>115</v>
      </c>
    </row>
    <row r="291" spans="1:18" ht="76.5" customHeight="1">
      <c r="A291" s="246"/>
      <c r="B291" s="247"/>
      <c r="C291" s="248"/>
      <c r="D291" s="504"/>
      <c r="E291" s="504"/>
      <c r="F291" s="481"/>
      <c r="G291" s="484"/>
      <c r="H291" s="559"/>
      <c r="I291" s="698"/>
      <c r="J291" s="698"/>
      <c r="K291" s="500"/>
      <c r="L291" s="484"/>
      <c r="M291" s="659"/>
      <c r="N291" s="559"/>
      <c r="O291" s="250"/>
      <c r="P291" s="495"/>
      <c r="Q291" s="475"/>
      <c r="R291" s="251"/>
    </row>
    <row r="292" spans="1:19" ht="26.25" customHeight="1">
      <c r="A292" s="252">
        <v>1</v>
      </c>
      <c r="B292" s="251" t="s">
        <v>152</v>
      </c>
      <c r="C292" s="253">
        <v>1</v>
      </c>
      <c r="D292" s="254">
        <v>4800</v>
      </c>
      <c r="E292" s="292">
        <v>17</v>
      </c>
      <c r="F292" s="255">
        <f>(D292+I292+H292)*30%</f>
        <v>1800</v>
      </c>
      <c r="G292" s="255">
        <f>(D292*C292+J292+H292+I292)*5%</f>
        <v>312</v>
      </c>
      <c r="H292" s="255">
        <f>D292*25%</f>
        <v>1200</v>
      </c>
      <c r="I292" s="256"/>
      <c r="J292" s="255">
        <f>D292*5%</f>
        <v>240</v>
      </c>
      <c r="K292" s="255"/>
      <c r="L292" s="255"/>
      <c r="M292" s="255"/>
      <c r="N292" s="256"/>
      <c r="O292" s="84">
        <f>D292*C292+F292+G292+H292+I292+K292+L292+M292+N292+J292</f>
        <v>8352</v>
      </c>
      <c r="P292" s="265"/>
      <c r="Q292" s="265">
        <f>O292+P292</f>
        <v>8352</v>
      </c>
      <c r="R292" s="84">
        <f>O292*12</f>
        <v>100224</v>
      </c>
      <c r="S292" s="3">
        <f>D292+H292+J292+D294*C294+H294+J294+D296*C296+D302*C302+D303+D304*C304+D317*C317+H317</f>
        <v>60072</v>
      </c>
    </row>
    <row r="293" spans="1:18" ht="15">
      <c r="A293" s="199"/>
      <c r="B293" s="237" t="s">
        <v>35</v>
      </c>
      <c r="C293" s="259"/>
      <c r="D293" s="260"/>
      <c r="E293" s="687" t="s">
        <v>324</v>
      </c>
      <c r="F293" s="262"/>
      <c r="G293" s="262"/>
      <c r="H293" s="265"/>
      <c r="I293" s="255"/>
      <c r="J293" s="264"/>
      <c r="K293" s="262"/>
      <c r="L293" s="265"/>
      <c r="M293" s="265"/>
      <c r="N293" s="257"/>
      <c r="O293" s="435"/>
      <c r="P293" s="430"/>
      <c r="Q293" s="265"/>
      <c r="R293" s="436"/>
    </row>
    <row r="294" spans="1:18" ht="28.5" customHeight="1">
      <c r="A294" s="266">
        <v>2</v>
      </c>
      <c r="B294" s="251" t="s">
        <v>36</v>
      </c>
      <c r="C294" s="268">
        <v>2</v>
      </c>
      <c r="D294" s="226">
        <f>D292*95%</f>
        <v>4560</v>
      </c>
      <c r="E294" s="688"/>
      <c r="F294" s="233">
        <f>(D294*C294+I294+H294)*30%</f>
        <v>3078</v>
      </c>
      <c r="G294" s="233">
        <f>(D294*C294+J294+H294+I294)*5%</f>
        <v>524.4</v>
      </c>
      <c r="H294" s="234">
        <f>D294*25%</f>
        <v>1140</v>
      </c>
      <c r="I294" s="255"/>
      <c r="J294" s="234">
        <f>D294*5%</f>
        <v>228</v>
      </c>
      <c r="K294" s="233"/>
      <c r="L294" s="234"/>
      <c r="M294" s="234"/>
      <c r="N294" s="234"/>
      <c r="O294" s="435">
        <f aca="true" t="shared" si="20" ref="O294:O306">D294*C294+F294+G294+H294+I294+K294+L294+M294+N294+J294</f>
        <v>14090.4</v>
      </c>
      <c r="P294" s="432"/>
      <c r="Q294" s="234">
        <f aca="true" t="shared" si="21" ref="Q294:Q319">O294+P294</f>
        <v>14090.4</v>
      </c>
      <c r="R294" s="271">
        <f aca="true" t="shared" si="22" ref="R294:R317">O294*12</f>
        <v>169084.8</v>
      </c>
    </row>
    <row r="295" spans="1:18" ht="37.5" customHeight="1">
      <c r="A295" s="266">
        <v>3</v>
      </c>
      <c r="B295" s="280" t="s">
        <v>181</v>
      </c>
      <c r="C295" s="276">
        <v>0.5</v>
      </c>
      <c r="D295" s="226">
        <f>D292*95%</f>
        <v>4560</v>
      </c>
      <c r="E295" s="269" t="s">
        <v>324</v>
      </c>
      <c r="F295" s="233">
        <f>D295*10%*C295</f>
        <v>228</v>
      </c>
      <c r="G295" s="233">
        <f>(D295*C295+J295+H295+I295)*5%</f>
        <v>114</v>
      </c>
      <c r="H295" s="277"/>
      <c r="I295" s="277"/>
      <c r="J295" s="277"/>
      <c r="K295" s="256"/>
      <c r="L295" s="84"/>
      <c r="M295" s="84"/>
      <c r="N295" s="84"/>
      <c r="O295" s="84">
        <f t="shared" si="20"/>
        <v>2622</v>
      </c>
      <c r="P295" s="234"/>
      <c r="Q295" s="234">
        <f t="shared" si="21"/>
        <v>2622</v>
      </c>
      <c r="R295" s="234">
        <f t="shared" si="22"/>
        <v>31464</v>
      </c>
    </row>
    <row r="296" spans="1:18" ht="34.5" customHeight="1">
      <c r="A296" s="174">
        <v>4</v>
      </c>
      <c r="B296" s="280" t="s">
        <v>374</v>
      </c>
      <c r="C296" s="276">
        <v>3</v>
      </c>
      <c r="D296" s="226">
        <v>3872</v>
      </c>
      <c r="E296" s="269">
        <v>14</v>
      </c>
      <c r="F296" s="233">
        <f>D296*10%*C296</f>
        <v>1161.6000000000001</v>
      </c>
      <c r="G296" s="233">
        <f>(D296*C296+J296+H296+I296)*5%</f>
        <v>726</v>
      </c>
      <c r="H296" s="84">
        <f>D296*C296*25%</f>
        <v>2904</v>
      </c>
      <c r="I296" s="277"/>
      <c r="J296" s="277"/>
      <c r="K296" s="256"/>
      <c r="L296" s="84"/>
      <c r="M296" s="84"/>
      <c r="N296" s="84"/>
      <c r="O296" s="84">
        <f t="shared" si="20"/>
        <v>16407.6</v>
      </c>
      <c r="P296" s="84"/>
      <c r="Q296" s="84">
        <f t="shared" si="21"/>
        <v>16407.6</v>
      </c>
      <c r="R296" s="234">
        <f t="shared" si="22"/>
        <v>196891.19999999998</v>
      </c>
    </row>
    <row r="297" spans="1:18" ht="17.25" customHeight="1">
      <c r="A297" s="174">
        <v>5</v>
      </c>
      <c r="B297" s="280" t="s">
        <v>282</v>
      </c>
      <c r="C297" s="276">
        <v>1</v>
      </c>
      <c r="D297" s="300">
        <v>3632</v>
      </c>
      <c r="E297" s="322">
        <v>13</v>
      </c>
      <c r="F297" s="233">
        <f>(D297)*30%</f>
        <v>1089.6</v>
      </c>
      <c r="G297" s="233">
        <f>(D297*C297+I297+J297)*5%</f>
        <v>181.60000000000002</v>
      </c>
      <c r="H297" s="84"/>
      <c r="I297" s="277"/>
      <c r="J297" s="277"/>
      <c r="K297" s="256"/>
      <c r="L297" s="84"/>
      <c r="M297" s="84"/>
      <c r="N297" s="84"/>
      <c r="O297" s="84">
        <f t="shared" si="20"/>
        <v>4903.200000000001</v>
      </c>
      <c r="P297" s="84"/>
      <c r="Q297" s="84">
        <f t="shared" si="21"/>
        <v>4903.200000000001</v>
      </c>
      <c r="R297" s="234">
        <f t="shared" si="22"/>
        <v>58838.40000000001</v>
      </c>
    </row>
    <row r="298" spans="1:18" ht="22.5" customHeight="1">
      <c r="A298" s="174">
        <v>6</v>
      </c>
      <c r="B298" s="280" t="s">
        <v>387</v>
      </c>
      <c r="C298" s="276">
        <v>0.5</v>
      </c>
      <c r="D298" s="278">
        <v>3872</v>
      </c>
      <c r="E298" s="302">
        <v>14</v>
      </c>
      <c r="F298" s="233">
        <f>(D298*C298+H298)*20%</f>
        <v>484</v>
      </c>
      <c r="G298" s="233">
        <f aca="true" t="shared" si="23" ref="G298:G304">(D298*C298+J298+H298+I298)*5%</f>
        <v>121</v>
      </c>
      <c r="H298" s="84">
        <f>D298*C298*25%</f>
        <v>484</v>
      </c>
      <c r="I298" s="277"/>
      <c r="J298" s="277"/>
      <c r="K298" s="256"/>
      <c r="L298" s="84"/>
      <c r="M298" s="84"/>
      <c r="N298" s="84"/>
      <c r="O298" s="84">
        <f t="shared" si="20"/>
        <v>3025</v>
      </c>
      <c r="P298" s="84"/>
      <c r="Q298" s="84">
        <f t="shared" si="21"/>
        <v>3025</v>
      </c>
      <c r="R298" s="234">
        <f t="shared" si="22"/>
        <v>36300</v>
      </c>
    </row>
    <row r="299" spans="1:18" ht="22.5" customHeight="1">
      <c r="A299" s="174">
        <v>7</v>
      </c>
      <c r="B299" s="280" t="s">
        <v>145</v>
      </c>
      <c r="C299" s="276">
        <v>1</v>
      </c>
      <c r="D299" s="278">
        <v>3872</v>
      </c>
      <c r="E299" s="302">
        <v>14</v>
      </c>
      <c r="F299" s="233">
        <f>(D299*C299+H299)*20%</f>
        <v>968</v>
      </c>
      <c r="G299" s="233">
        <f t="shared" si="23"/>
        <v>242</v>
      </c>
      <c r="H299" s="84">
        <f>D299*C299*25%</f>
        <v>968</v>
      </c>
      <c r="I299" s="277"/>
      <c r="J299" s="277"/>
      <c r="K299" s="256"/>
      <c r="L299" s="84"/>
      <c r="M299" s="84"/>
      <c r="N299" s="84"/>
      <c r="O299" s="84">
        <f t="shared" si="20"/>
        <v>6050</v>
      </c>
      <c r="P299" s="84"/>
      <c r="Q299" s="84">
        <f t="shared" si="21"/>
        <v>6050</v>
      </c>
      <c r="R299" s="234">
        <f t="shared" si="22"/>
        <v>72600</v>
      </c>
    </row>
    <row r="300" spans="1:18" ht="22.5" customHeight="1" hidden="1">
      <c r="A300" s="174"/>
      <c r="B300" s="280"/>
      <c r="C300" s="276"/>
      <c r="D300" s="226"/>
      <c r="E300" s="293"/>
      <c r="F300" s="233">
        <f>(D300*C300+H300)*20%</f>
        <v>0</v>
      </c>
      <c r="G300" s="233">
        <f t="shared" si="23"/>
        <v>0</v>
      </c>
      <c r="H300" s="84"/>
      <c r="I300" s="277"/>
      <c r="J300" s="277"/>
      <c r="K300" s="256"/>
      <c r="L300" s="84"/>
      <c r="M300" s="84"/>
      <c r="N300" s="84"/>
      <c r="O300" s="84">
        <f t="shared" si="20"/>
        <v>0</v>
      </c>
      <c r="P300" s="84"/>
      <c r="Q300" s="84">
        <f t="shared" si="21"/>
        <v>0</v>
      </c>
      <c r="R300" s="234">
        <f t="shared" si="22"/>
        <v>0</v>
      </c>
    </row>
    <row r="301" spans="1:18" ht="22.5" customHeight="1">
      <c r="A301" s="174">
        <v>8</v>
      </c>
      <c r="B301" s="280" t="s">
        <v>388</v>
      </c>
      <c r="C301" s="276">
        <v>0.5</v>
      </c>
      <c r="D301" s="226">
        <v>3152</v>
      </c>
      <c r="E301" s="293">
        <v>11</v>
      </c>
      <c r="F301" s="233">
        <f>(D301*C301+H301)*20%</f>
        <v>394</v>
      </c>
      <c r="G301" s="233">
        <f t="shared" si="23"/>
        <v>98.5</v>
      </c>
      <c r="H301" s="84">
        <f>D301*C301*25%</f>
        <v>394</v>
      </c>
      <c r="I301" s="277"/>
      <c r="J301" s="277"/>
      <c r="K301" s="256"/>
      <c r="L301" s="84"/>
      <c r="M301" s="84"/>
      <c r="N301" s="84"/>
      <c r="O301" s="84">
        <f t="shared" si="20"/>
        <v>2462.5</v>
      </c>
      <c r="P301" s="84"/>
      <c r="Q301" s="84">
        <f t="shared" si="21"/>
        <v>2462.5</v>
      </c>
      <c r="R301" s="234">
        <f t="shared" si="22"/>
        <v>29550</v>
      </c>
    </row>
    <row r="302" spans="1:20" ht="18" customHeight="1">
      <c r="A302" s="174">
        <v>9</v>
      </c>
      <c r="B302" s="162" t="s">
        <v>34</v>
      </c>
      <c r="C302" s="276">
        <v>1</v>
      </c>
      <c r="D302" s="278">
        <v>3872</v>
      </c>
      <c r="E302" s="293">
        <v>14</v>
      </c>
      <c r="F302" s="233">
        <f>(D302*C302+J302)*30%</f>
        <v>1161.6</v>
      </c>
      <c r="G302" s="233">
        <f t="shared" si="23"/>
        <v>193.60000000000002</v>
      </c>
      <c r="H302" s="277"/>
      <c r="I302" s="84"/>
      <c r="J302" s="84"/>
      <c r="K302" s="256"/>
      <c r="L302" s="84"/>
      <c r="M302" s="84"/>
      <c r="N302" s="84"/>
      <c r="O302" s="84">
        <f t="shared" si="20"/>
        <v>5227.200000000001</v>
      </c>
      <c r="P302" s="84"/>
      <c r="Q302" s="84">
        <f t="shared" si="21"/>
        <v>5227.200000000001</v>
      </c>
      <c r="R302" s="234">
        <f t="shared" si="22"/>
        <v>62726.40000000001</v>
      </c>
      <c r="T302" s="16"/>
    </row>
    <row r="303" spans="1:18" ht="18" customHeight="1">
      <c r="A303" s="174">
        <v>10</v>
      </c>
      <c r="B303" s="162" t="s">
        <v>21</v>
      </c>
      <c r="C303" s="276">
        <v>1</v>
      </c>
      <c r="D303" s="278">
        <v>3392</v>
      </c>
      <c r="E303" s="293">
        <v>12</v>
      </c>
      <c r="F303" s="233">
        <f>D303*20%</f>
        <v>678.4000000000001</v>
      </c>
      <c r="G303" s="233">
        <f t="shared" si="23"/>
        <v>169.60000000000002</v>
      </c>
      <c r="H303" s="277"/>
      <c r="I303" s="277"/>
      <c r="J303" s="277"/>
      <c r="K303" s="256"/>
      <c r="L303" s="84"/>
      <c r="M303" s="84"/>
      <c r="N303" s="84"/>
      <c r="O303" s="84">
        <f t="shared" si="20"/>
        <v>4240</v>
      </c>
      <c r="P303" s="84"/>
      <c r="Q303" s="84">
        <f t="shared" si="21"/>
        <v>4240</v>
      </c>
      <c r="R303" s="234">
        <f t="shared" si="22"/>
        <v>50880</v>
      </c>
    </row>
    <row r="304" spans="1:18" ht="21" customHeight="1">
      <c r="A304" s="174">
        <v>11</v>
      </c>
      <c r="B304" s="162" t="s">
        <v>32</v>
      </c>
      <c r="C304" s="276">
        <v>2</v>
      </c>
      <c r="D304" s="278">
        <v>3152</v>
      </c>
      <c r="E304" s="293">
        <v>11</v>
      </c>
      <c r="F304" s="233">
        <f>D304*C304*10%</f>
        <v>630.4000000000001</v>
      </c>
      <c r="G304" s="233">
        <f t="shared" si="23"/>
        <v>315.20000000000005</v>
      </c>
      <c r="H304" s="277"/>
      <c r="I304" s="277"/>
      <c r="J304" s="277"/>
      <c r="K304" s="256"/>
      <c r="L304" s="84"/>
      <c r="M304" s="84"/>
      <c r="N304" s="84"/>
      <c r="O304" s="84">
        <f t="shared" si="20"/>
        <v>7249.599999999999</v>
      </c>
      <c r="P304" s="84"/>
      <c r="Q304" s="84">
        <f t="shared" si="21"/>
        <v>7249.599999999999</v>
      </c>
      <c r="R304" s="234">
        <f t="shared" si="22"/>
        <v>86995.2</v>
      </c>
    </row>
    <row r="305" spans="1:19" ht="18" customHeight="1">
      <c r="A305" s="174">
        <v>12</v>
      </c>
      <c r="B305" s="162" t="s">
        <v>205</v>
      </c>
      <c r="C305" s="276">
        <v>1</v>
      </c>
      <c r="D305" s="278">
        <v>3392</v>
      </c>
      <c r="E305" s="293">
        <v>12</v>
      </c>
      <c r="F305" s="233">
        <f>D305*10%</f>
        <v>339.20000000000005</v>
      </c>
      <c r="G305" s="233"/>
      <c r="H305" s="277"/>
      <c r="I305" s="277"/>
      <c r="J305" s="277"/>
      <c r="K305" s="84"/>
      <c r="L305" s="84"/>
      <c r="M305" s="84"/>
      <c r="N305" s="84"/>
      <c r="O305" s="84">
        <f t="shared" si="20"/>
        <v>3731.2</v>
      </c>
      <c r="P305" s="84"/>
      <c r="Q305" s="84">
        <f t="shared" si="21"/>
        <v>3731.2</v>
      </c>
      <c r="R305" s="234">
        <f t="shared" si="22"/>
        <v>44774.399999999994</v>
      </c>
      <c r="S305" s="3">
        <f>D305+D306+N306+D307+D309+D310+D311*C311+D312*C312+D313*C313+D315*C315+D316+D318*C318+D319</f>
        <v>49902.4</v>
      </c>
    </row>
    <row r="306" spans="1:18" ht="18" customHeight="1">
      <c r="A306" s="174">
        <v>13</v>
      </c>
      <c r="B306" s="162" t="s">
        <v>233</v>
      </c>
      <c r="C306" s="276">
        <v>1</v>
      </c>
      <c r="D306" s="278">
        <v>2320</v>
      </c>
      <c r="E306" s="293">
        <v>6</v>
      </c>
      <c r="F306" s="233">
        <f>D306*10%</f>
        <v>232</v>
      </c>
      <c r="G306" s="233"/>
      <c r="H306" s="84"/>
      <c r="I306" s="277"/>
      <c r="J306" s="277"/>
      <c r="K306" s="84"/>
      <c r="L306" s="84"/>
      <c r="M306" s="84"/>
      <c r="N306" s="84">
        <f>D306*7%</f>
        <v>162.4</v>
      </c>
      <c r="O306" s="84">
        <f t="shared" si="20"/>
        <v>2714.4</v>
      </c>
      <c r="P306" s="84">
        <f>3200*C306-(O306-L306-M306-N306)</f>
        <v>648</v>
      </c>
      <c r="Q306" s="84">
        <f t="shared" si="21"/>
        <v>3362.4</v>
      </c>
      <c r="R306" s="234">
        <f t="shared" si="22"/>
        <v>32572.800000000003</v>
      </c>
    </row>
    <row r="307" spans="1:18" ht="38.25" customHeight="1">
      <c r="A307" s="174">
        <v>14</v>
      </c>
      <c r="B307" s="309" t="s">
        <v>214</v>
      </c>
      <c r="C307" s="276">
        <v>1</v>
      </c>
      <c r="D307" s="278">
        <f>D292*85%</f>
        <v>4080</v>
      </c>
      <c r="E307" s="269" t="s">
        <v>301</v>
      </c>
      <c r="F307" s="84"/>
      <c r="G307" s="84"/>
      <c r="H307" s="84"/>
      <c r="I307" s="84"/>
      <c r="J307" s="84"/>
      <c r="K307" s="84"/>
      <c r="L307" s="84"/>
      <c r="M307" s="84"/>
      <c r="N307" s="84"/>
      <c r="O307" s="84">
        <f aca="true" t="shared" si="24" ref="O307:O319">D307*C307+F307+G307+H307+I307+K307+L307+M307+N307</f>
        <v>4080</v>
      </c>
      <c r="P307" s="84"/>
      <c r="Q307" s="84">
        <f t="shared" si="21"/>
        <v>4080</v>
      </c>
      <c r="R307" s="234">
        <f t="shared" si="22"/>
        <v>48960</v>
      </c>
    </row>
    <row r="308" spans="1:18" ht="30.75" customHeight="1">
      <c r="A308" s="174">
        <v>15</v>
      </c>
      <c r="B308" s="281" t="s">
        <v>386</v>
      </c>
      <c r="C308" s="276">
        <v>0.5</v>
      </c>
      <c r="D308" s="278">
        <v>3152</v>
      </c>
      <c r="E308" s="293">
        <v>11</v>
      </c>
      <c r="F308" s="84">
        <f>D308*C308*20%</f>
        <v>315.20000000000005</v>
      </c>
      <c r="G308" s="84">
        <f>D308*C308*5%</f>
        <v>78.80000000000001</v>
      </c>
      <c r="H308" s="84"/>
      <c r="I308" s="84"/>
      <c r="J308" s="84"/>
      <c r="K308" s="84"/>
      <c r="L308" s="84"/>
      <c r="M308" s="84"/>
      <c r="N308" s="84"/>
      <c r="O308" s="234">
        <f t="shared" si="24"/>
        <v>1970</v>
      </c>
      <c r="P308" s="84"/>
      <c r="Q308" s="84">
        <f t="shared" si="21"/>
        <v>1970</v>
      </c>
      <c r="R308" s="234">
        <f t="shared" si="22"/>
        <v>23640</v>
      </c>
    </row>
    <row r="309" spans="1:19" ht="18.75" customHeight="1">
      <c r="A309" s="174">
        <v>16</v>
      </c>
      <c r="B309" s="162" t="s">
        <v>23</v>
      </c>
      <c r="C309" s="276">
        <v>1</v>
      </c>
      <c r="D309" s="278">
        <v>2176</v>
      </c>
      <c r="E309" s="293">
        <v>5</v>
      </c>
      <c r="F309" s="84"/>
      <c r="G309" s="84"/>
      <c r="H309" s="84"/>
      <c r="I309" s="84"/>
      <c r="J309" s="84"/>
      <c r="K309" s="84"/>
      <c r="L309" s="84"/>
      <c r="M309" s="84"/>
      <c r="N309" s="84"/>
      <c r="O309" s="234">
        <f t="shared" si="24"/>
        <v>2176</v>
      </c>
      <c r="P309" s="84">
        <f aca="true" t="shared" si="25" ref="P309:P316">3200*C309-(O309-L309-M309-N309)</f>
        <v>1024</v>
      </c>
      <c r="Q309" s="84">
        <f t="shared" si="21"/>
        <v>3200</v>
      </c>
      <c r="R309" s="234">
        <f t="shared" si="22"/>
        <v>26112</v>
      </c>
      <c r="S309" s="16"/>
    </row>
    <row r="310" spans="1:18" ht="18.75" customHeight="1">
      <c r="A310" s="174">
        <v>17</v>
      </c>
      <c r="B310" s="162" t="s">
        <v>30</v>
      </c>
      <c r="C310" s="276">
        <v>1</v>
      </c>
      <c r="D310" s="278">
        <v>1600</v>
      </c>
      <c r="E310" s="293">
        <v>1</v>
      </c>
      <c r="F310" s="84"/>
      <c r="G310" s="84"/>
      <c r="H310" s="84"/>
      <c r="I310" s="84"/>
      <c r="J310" s="84"/>
      <c r="K310" s="84"/>
      <c r="L310" s="84"/>
      <c r="M310" s="84"/>
      <c r="N310" s="84"/>
      <c r="O310" s="234">
        <f t="shared" si="24"/>
        <v>1600</v>
      </c>
      <c r="P310" s="84">
        <f t="shared" si="25"/>
        <v>1600</v>
      </c>
      <c r="Q310" s="84">
        <f t="shared" si="21"/>
        <v>3200</v>
      </c>
      <c r="R310" s="234">
        <f t="shared" si="22"/>
        <v>19200</v>
      </c>
    </row>
    <row r="311" spans="1:18" ht="42.75">
      <c r="A311" s="174">
        <v>18</v>
      </c>
      <c r="B311" s="280" t="s">
        <v>182</v>
      </c>
      <c r="C311" s="276">
        <v>1.5</v>
      </c>
      <c r="D311" s="278">
        <v>2032</v>
      </c>
      <c r="E311" s="293">
        <v>4</v>
      </c>
      <c r="F311" s="84"/>
      <c r="G311" s="84"/>
      <c r="H311" s="84"/>
      <c r="I311" s="84"/>
      <c r="J311" s="84"/>
      <c r="K311" s="84"/>
      <c r="L311" s="84"/>
      <c r="M311" s="84"/>
      <c r="N311" s="84"/>
      <c r="O311" s="234">
        <f t="shared" si="24"/>
        <v>3048</v>
      </c>
      <c r="P311" s="84">
        <f t="shared" si="25"/>
        <v>1752</v>
      </c>
      <c r="Q311" s="84">
        <f t="shared" si="21"/>
        <v>4800</v>
      </c>
      <c r="R311" s="234">
        <f t="shared" si="22"/>
        <v>36576</v>
      </c>
    </row>
    <row r="312" spans="1:18" ht="18" customHeight="1">
      <c r="A312" s="174">
        <v>19</v>
      </c>
      <c r="B312" s="162" t="s">
        <v>27</v>
      </c>
      <c r="C312" s="84">
        <v>2.75</v>
      </c>
      <c r="D312" s="278">
        <v>1744</v>
      </c>
      <c r="E312" s="293">
        <v>2</v>
      </c>
      <c r="F312" s="84"/>
      <c r="G312" s="84"/>
      <c r="H312" s="84"/>
      <c r="I312" s="84"/>
      <c r="J312" s="84"/>
      <c r="K312" s="84"/>
      <c r="L312" s="84"/>
      <c r="M312" s="84">
        <f>D312*40%*2.75</f>
        <v>1918.4</v>
      </c>
      <c r="N312" s="84"/>
      <c r="O312" s="234">
        <f t="shared" si="24"/>
        <v>6714.4</v>
      </c>
      <c r="P312" s="84">
        <f t="shared" si="25"/>
        <v>4004</v>
      </c>
      <c r="Q312" s="84">
        <f t="shared" si="21"/>
        <v>10718.4</v>
      </c>
      <c r="R312" s="234">
        <f t="shared" si="22"/>
        <v>80572.79999999999</v>
      </c>
    </row>
    <row r="313" spans="1:18" ht="28.5" customHeight="1">
      <c r="A313" s="174">
        <v>20</v>
      </c>
      <c r="B313" s="281" t="s">
        <v>193</v>
      </c>
      <c r="C313" s="276">
        <v>10</v>
      </c>
      <c r="D313" s="278">
        <v>1744</v>
      </c>
      <c r="E313" s="293">
        <v>2</v>
      </c>
      <c r="F313" s="84"/>
      <c r="G313" s="84"/>
      <c r="H313" s="84"/>
      <c r="I313" s="84"/>
      <c r="J313" s="84"/>
      <c r="K313" s="84"/>
      <c r="L313" s="84">
        <f>D313*C313*10%</f>
        <v>1744</v>
      </c>
      <c r="M313" s="84"/>
      <c r="N313" s="84"/>
      <c r="O313" s="234">
        <f t="shared" si="24"/>
        <v>19184</v>
      </c>
      <c r="P313" s="84">
        <f t="shared" si="25"/>
        <v>14560</v>
      </c>
      <c r="Q313" s="84">
        <f t="shared" si="21"/>
        <v>33744</v>
      </c>
      <c r="R313" s="234">
        <f t="shared" si="22"/>
        <v>230208</v>
      </c>
    </row>
    <row r="314" spans="1:18" ht="17.25" customHeight="1" hidden="1">
      <c r="A314" s="174"/>
      <c r="B314" s="162"/>
      <c r="C314" s="276"/>
      <c r="D314" s="278"/>
      <c r="E314" s="293"/>
      <c r="F314" s="84"/>
      <c r="G314" s="84"/>
      <c r="H314" s="84"/>
      <c r="I314" s="84"/>
      <c r="J314" s="84"/>
      <c r="K314" s="84"/>
      <c r="L314" s="84"/>
      <c r="M314" s="84"/>
      <c r="N314" s="84"/>
      <c r="O314" s="234">
        <f t="shared" si="24"/>
        <v>0</v>
      </c>
      <c r="P314" s="84">
        <f t="shared" si="25"/>
        <v>0</v>
      </c>
      <c r="Q314" s="84">
        <f t="shared" si="21"/>
        <v>0</v>
      </c>
      <c r="R314" s="234">
        <f t="shared" si="22"/>
        <v>0</v>
      </c>
    </row>
    <row r="315" spans="1:18" ht="18" customHeight="1">
      <c r="A315" s="174">
        <v>21</v>
      </c>
      <c r="B315" s="162" t="s">
        <v>25</v>
      </c>
      <c r="C315" s="276">
        <v>3</v>
      </c>
      <c r="D315" s="278">
        <v>2176</v>
      </c>
      <c r="E315" s="293">
        <v>5</v>
      </c>
      <c r="F315" s="84"/>
      <c r="G315" s="84"/>
      <c r="H315" s="84"/>
      <c r="I315" s="84"/>
      <c r="J315" s="84"/>
      <c r="K315" s="84">
        <f>D315*C315*12%</f>
        <v>783.36</v>
      </c>
      <c r="L315" s="84"/>
      <c r="M315" s="84"/>
      <c r="N315" s="283">
        <f>D315*20%+D315*C315*15%</f>
        <v>1414.4</v>
      </c>
      <c r="O315" s="234">
        <f t="shared" si="24"/>
        <v>8725.76</v>
      </c>
      <c r="P315" s="84">
        <f t="shared" si="25"/>
        <v>2288.6399999999994</v>
      </c>
      <c r="Q315" s="84">
        <f t="shared" si="21"/>
        <v>11014.4</v>
      </c>
      <c r="R315" s="234">
        <f t="shared" si="22"/>
        <v>104709.12</v>
      </c>
    </row>
    <row r="316" spans="1:18" ht="17.25" customHeight="1">
      <c r="A316" s="174">
        <v>22</v>
      </c>
      <c r="B316" s="162" t="s">
        <v>151</v>
      </c>
      <c r="C316" s="276">
        <v>1</v>
      </c>
      <c r="D316" s="278">
        <v>1600</v>
      </c>
      <c r="E316" s="293">
        <v>1</v>
      </c>
      <c r="F316" s="84"/>
      <c r="G316" s="84"/>
      <c r="H316" s="84"/>
      <c r="I316" s="84"/>
      <c r="J316" s="84"/>
      <c r="K316" s="84">
        <f>D316*C316*12%</f>
        <v>192</v>
      </c>
      <c r="L316" s="84"/>
      <c r="M316" s="84"/>
      <c r="N316" s="283">
        <f>D316*C316*15%</f>
        <v>240</v>
      </c>
      <c r="O316" s="234">
        <f t="shared" si="24"/>
        <v>2032</v>
      </c>
      <c r="P316" s="84">
        <f t="shared" si="25"/>
        <v>1408</v>
      </c>
      <c r="Q316" s="84">
        <f t="shared" si="21"/>
        <v>3440</v>
      </c>
      <c r="R316" s="234">
        <f t="shared" si="22"/>
        <v>24384</v>
      </c>
    </row>
    <row r="317" spans="1:18" ht="42" customHeight="1">
      <c r="A317" s="174">
        <v>23</v>
      </c>
      <c r="B317" s="281" t="s">
        <v>407</v>
      </c>
      <c r="C317" s="84">
        <v>4</v>
      </c>
      <c r="D317" s="278">
        <v>3632</v>
      </c>
      <c r="E317" s="293">
        <v>13</v>
      </c>
      <c r="F317" s="84">
        <f>(D317*C317+H317)*30%</f>
        <v>5448</v>
      </c>
      <c r="G317" s="84">
        <f>(D317*C317+H317)*5%</f>
        <v>908</v>
      </c>
      <c r="H317" s="168">
        <f>D317*C317*25%</f>
        <v>3632</v>
      </c>
      <c r="I317" s="84"/>
      <c r="J317" s="84"/>
      <c r="K317" s="84"/>
      <c r="L317" s="84"/>
      <c r="M317" s="84"/>
      <c r="N317" s="283"/>
      <c r="O317" s="234">
        <f>D317*C317+F317+G317+H317+I317+K317+L317+M317+N317</f>
        <v>24516</v>
      </c>
      <c r="P317" s="84"/>
      <c r="Q317" s="84">
        <f t="shared" si="21"/>
        <v>24516</v>
      </c>
      <c r="R317" s="234">
        <f t="shared" si="22"/>
        <v>294192</v>
      </c>
    </row>
    <row r="318" spans="1:18" ht="18" customHeight="1">
      <c r="A318" s="174">
        <v>24</v>
      </c>
      <c r="B318" s="162" t="s">
        <v>24</v>
      </c>
      <c r="C318" s="84">
        <v>0.5</v>
      </c>
      <c r="D318" s="278">
        <v>2032</v>
      </c>
      <c r="E318" s="293">
        <v>4</v>
      </c>
      <c r="F318" s="84"/>
      <c r="G318" s="84"/>
      <c r="H318" s="168"/>
      <c r="I318" s="84"/>
      <c r="J318" s="84"/>
      <c r="K318" s="84"/>
      <c r="L318" s="84"/>
      <c r="M318" s="84"/>
      <c r="N318" s="283"/>
      <c r="O318" s="234">
        <f t="shared" si="24"/>
        <v>1016</v>
      </c>
      <c r="P318" s="84">
        <f>3200*C318-(O318-L318-M318-N318)</f>
        <v>584</v>
      </c>
      <c r="Q318" s="84">
        <f t="shared" si="21"/>
        <v>1600</v>
      </c>
      <c r="R318" s="234">
        <f>O318*12</f>
        <v>12192</v>
      </c>
    </row>
    <row r="319" spans="1:18" ht="18" customHeight="1">
      <c r="A319" s="174">
        <v>25</v>
      </c>
      <c r="B319" s="162" t="s">
        <v>31</v>
      </c>
      <c r="C319" s="84">
        <v>1</v>
      </c>
      <c r="D319" s="278">
        <v>1744</v>
      </c>
      <c r="E319" s="293">
        <v>2</v>
      </c>
      <c r="F319" s="84"/>
      <c r="G319" s="84"/>
      <c r="H319" s="168"/>
      <c r="I319" s="84"/>
      <c r="J319" s="84"/>
      <c r="K319" s="84"/>
      <c r="L319" s="84"/>
      <c r="M319" s="84"/>
      <c r="N319" s="283"/>
      <c r="O319" s="234">
        <f t="shared" si="24"/>
        <v>1744</v>
      </c>
      <c r="P319" s="84">
        <f>3200*C319-(O319-L319-M319-N319)</f>
        <v>1456</v>
      </c>
      <c r="Q319" s="84">
        <f t="shared" si="21"/>
        <v>3200</v>
      </c>
      <c r="R319" s="234">
        <f>O319*12</f>
        <v>20928</v>
      </c>
    </row>
    <row r="320" spans="1:20" ht="13.5" customHeight="1">
      <c r="A320" s="174"/>
      <c r="B320" s="281"/>
      <c r="C320" s="84"/>
      <c r="D320" s="278"/>
      <c r="E320" s="269"/>
      <c r="F320" s="84"/>
      <c r="G320" s="84"/>
      <c r="H320" s="168"/>
      <c r="I320" s="84"/>
      <c r="J320" s="84"/>
      <c r="K320" s="84"/>
      <c r="L320" s="84"/>
      <c r="M320" s="84"/>
      <c r="N320" s="283"/>
      <c r="O320" s="234"/>
      <c r="P320" s="84"/>
      <c r="Q320" s="84"/>
      <c r="R320" s="234"/>
      <c r="T320" s="172"/>
    </row>
    <row r="321" spans="1:23" ht="15">
      <c r="A321" s="174"/>
      <c r="B321" s="162" t="s">
        <v>15</v>
      </c>
      <c r="C321" s="84">
        <f>SUM(C292:C320)</f>
        <v>42.75</v>
      </c>
      <c r="D321" s="313">
        <f>D292+D294*C294+D302*C302+D303+D304*C304+D305+D308+D309+D310+D311*C311+D312*C312+D313*C313+D314*C314+D315*C315+D316+D317*C317+D318*C318+D296*C296+D306+D307+D319</f>
        <v>106524</v>
      </c>
      <c r="E321" s="284"/>
      <c r="F321" s="84">
        <f>SUM(F292:F318)+F319</f>
        <v>18008</v>
      </c>
      <c r="G321" s="84">
        <f aca="true" t="shared" si="26" ref="G321:R321">SUM(G292:G318)+G319</f>
        <v>3984.7</v>
      </c>
      <c r="H321" s="168">
        <f t="shared" si="26"/>
        <v>10722</v>
      </c>
      <c r="I321" s="84">
        <f t="shared" si="26"/>
        <v>0</v>
      </c>
      <c r="J321" s="84">
        <f t="shared" si="26"/>
        <v>468</v>
      </c>
      <c r="K321" s="84">
        <f t="shared" si="26"/>
        <v>975.36</v>
      </c>
      <c r="L321" s="84">
        <f t="shared" si="26"/>
        <v>1744</v>
      </c>
      <c r="M321" s="84">
        <f t="shared" si="26"/>
        <v>1918.4</v>
      </c>
      <c r="N321" s="84">
        <f t="shared" si="26"/>
        <v>1816.8000000000002</v>
      </c>
      <c r="O321" s="84">
        <f t="shared" si="26"/>
        <v>157881.25999999998</v>
      </c>
      <c r="P321" s="84">
        <f t="shared" si="26"/>
        <v>29324.64</v>
      </c>
      <c r="Q321" s="84">
        <f>SUM(Q292:Q318)+Q319</f>
        <v>187205.9</v>
      </c>
      <c r="R321" s="84">
        <f t="shared" si="26"/>
        <v>1894575.12</v>
      </c>
      <c r="T321" s="172"/>
      <c r="W321" s="16"/>
    </row>
    <row r="322" spans="1:18" ht="15">
      <c r="A322" s="172"/>
      <c r="B322" s="172"/>
      <c r="C322" s="172"/>
      <c r="D322" s="172"/>
      <c r="E322" s="175"/>
      <c r="F322" s="172"/>
      <c r="G322" s="172"/>
      <c r="H322" s="172"/>
      <c r="I322" s="172"/>
      <c r="J322" s="172"/>
      <c r="K322" s="172"/>
      <c r="L322" s="172"/>
      <c r="M322" s="172"/>
      <c r="N322" s="172"/>
      <c r="O322" s="172"/>
      <c r="P322" s="172"/>
      <c r="Q322" s="172"/>
      <c r="R322" s="172"/>
    </row>
    <row r="323" spans="1:18" ht="0.75" customHeight="1">
      <c r="A323" s="172"/>
      <c r="B323" s="285"/>
      <c r="C323" s="286"/>
      <c r="D323" s="287"/>
      <c r="E323" s="288"/>
      <c r="F323" s="287"/>
      <c r="G323" s="287"/>
      <c r="H323" s="287"/>
      <c r="I323" s="287"/>
      <c r="J323" s="287"/>
      <c r="K323" s="287"/>
      <c r="L323" s="287"/>
      <c r="M323" s="287"/>
      <c r="N323" s="287"/>
      <c r="O323" s="312"/>
      <c r="P323" s="312"/>
      <c r="Q323" s="312"/>
      <c r="R323" s="172"/>
    </row>
    <row r="324" spans="1:18" ht="0.75" customHeight="1">
      <c r="A324" s="172"/>
      <c r="B324" s="172"/>
      <c r="C324" s="172"/>
      <c r="D324" s="172"/>
      <c r="E324" s="175"/>
      <c r="F324" s="172"/>
      <c r="G324" s="172"/>
      <c r="H324" s="172"/>
      <c r="I324" s="172"/>
      <c r="J324" s="172"/>
      <c r="K324" s="172"/>
      <c r="L324" s="172"/>
      <c r="M324" s="172"/>
      <c r="N324" s="172"/>
      <c r="O324" s="172"/>
      <c r="P324" s="172"/>
      <c r="Q324" s="172"/>
      <c r="R324" s="172"/>
    </row>
    <row r="325" spans="1:18" ht="27" customHeight="1">
      <c r="A325" s="172"/>
      <c r="B325" s="172"/>
      <c r="C325" s="172"/>
      <c r="D325" s="172"/>
      <c r="E325" s="175"/>
      <c r="F325" s="172"/>
      <c r="G325" s="172"/>
      <c r="H325" s="172"/>
      <c r="I325" s="172"/>
      <c r="J325" s="172"/>
      <c r="K325" s="172"/>
      <c r="L325" s="172"/>
      <c r="M325" s="172"/>
      <c r="N325" s="172"/>
      <c r="O325" s="172"/>
      <c r="P325" s="172"/>
      <c r="Q325" s="312"/>
      <c r="R325" s="172"/>
    </row>
    <row r="326" spans="1:22" ht="37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18" ht="14.25" customHeight="1">
      <c r="A327" s="172"/>
      <c r="B327" s="172"/>
      <c r="C327" s="200" t="s">
        <v>371</v>
      </c>
      <c r="D327" s="200"/>
      <c r="E327" s="200"/>
      <c r="F327" s="200"/>
      <c r="G327" s="200"/>
      <c r="H327" s="200"/>
      <c r="I327" s="200"/>
      <c r="J327" s="200"/>
      <c r="K327" s="198" t="s">
        <v>372</v>
      </c>
      <c r="L327" s="198"/>
      <c r="M327" s="198"/>
      <c r="N327" s="198"/>
      <c r="O327" s="172"/>
      <c r="P327" s="172"/>
      <c r="Q327" s="172"/>
      <c r="R327" s="172"/>
    </row>
    <row r="328" spans="1:18" ht="18.75">
      <c r="A328" s="198"/>
      <c r="B328" s="232"/>
      <c r="C328" s="232"/>
      <c r="D328" s="232"/>
      <c r="E328" s="232"/>
      <c r="F328" s="232"/>
      <c r="G328" s="232"/>
      <c r="H328" s="232"/>
      <c r="I328" s="232"/>
      <c r="J328" s="232"/>
      <c r="K328" s="232"/>
      <c r="L328" s="232"/>
      <c r="M328" s="232"/>
      <c r="N328" s="198"/>
      <c r="O328" s="198"/>
      <c r="P328" s="198"/>
      <c r="Q328" s="198"/>
      <c r="R328" s="198"/>
    </row>
    <row r="329" spans="1:18" ht="15">
      <c r="A329" s="469"/>
      <c r="B329" s="469"/>
      <c r="C329" s="469"/>
      <c r="D329" s="469"/>
      <c r="E329" s="469"/>
      <c r="F329" s="469"/>
      <c r="G329" s="469"/>
      <c r="H329" s="469"/>
      <c r="I329" s="469"/>
      <c r="J329" s="469"/>
      <c r="K329" s="469"/>
      <c r="L329" s="469"/>
      <c r="M329" s="469"/>
      <c r="N329" s="469"/>
      <c r="O329" s="469"/>
      <c r="P329" s="469"/>
      <c r="Q329" s="469"/>
      <c r="R329" s="469"/>
    </row>
    <row r="330" spans="1:18" ht="15">
      <c r="A330" s="172"/>
      <c r="B330" s="418" t="s">
        <v>368</v>
      </c>
      <c r="C330" s="172"/>
      <c r="D330" s="172"/>
      <c r="E330" s="172"/>
      <c r="F330" s="172"/>
      <c r="G330" s="172"/>
      <c r="H330" s="172"/>
      <c r="I330" s="172"/>
      <c r="J330" s="172"/>
      <c r="K330" s="172"/>
      <c r="L330" s="172"/>
      <c r="M330" s="172"/>
      <c r="N330" s="172"/>
      <c r="O330" s="172"/>
      <c r="P330" s="172"/>
      <c r="Q330" s="172"/>
      <c r="R330" s="172"/>
    </row>
    <row r="331" spans="2:5" ht="15">
      <c r="B331" s="194">
        <v>42041</v>
      </c>
      <c r="E331" s="3"/>
    </row>
    <row r="332" spans="1:18" ht="15">
      <c r="A332" s="172"/>
      <c r="B332" s="172"/>
      <c r="C332" s="172"/>
      <c r="D332" s="172"/>
      <c r="E332" s="172"/>
      <c r="F332" s="172"/>
      <c r="G332" s="172"/>
      <c r="H332" s="172"/>
      <c r="I332" s="172"/>
      <c r="J332" s="172"/>
      <c r="K332" s="172"/>
      <c r="L332" s="172"/>
      <c r="M332" s="172"/>
      <c r="N332" s="172"/>
      <c r="O332" s="172"/>
      <c r="P332" s="172"/>
      <c r="Q332" s="172"/>
      <c r="R332" s="172"/>
    </row>
    <row r="333" spans="1:18" ht="15">
      <c r="A333" s="172"/>
      <c r="B333" s="290"/>
      <c r="C333" s="172"/>
      <c r="D333" s="172"/>
      <c r="E333" s="172"/>
      <c r="F333" s="172"/>
      <c r="G333" s="172"/>
      <c r="H333" s="172"/>
      <c r="I333" s="172"/>
      <c r="J333" s="172"/>
      <c r="K333" s="172"/>
      <c r="L333" s="172"/>
      <c r="M333" s="172"/>
      <c r="N333" s="172"/>
      <c r="O333" s="172"/>
      <c r="P333" s="172"/>
      <c r="Q333" s="172"/>
      <c r="R333" s="172"/>
    </row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50" spans="1:18" ht="20.25">
      <c r="A350" s="172"/>
      <c r="B350" s="172"/>
      <c r="C350" s="172"/>
      <c r="D350" s="172"/>
      <c r="E350" s="175"/>
      <c r="F350" s="172"/>
      <c r="G350" s="196"/>
      <c r="H350" s="172"/>
      <c r="I350" s="172"/>
      <c r="J350" s="172"/>
      <c r="K350" s="172"/>
      <c r="L350" s="172" t="s">
        <v>142</v>
      </c>
      <c r="M350" s="172"/>
      <c r="N350" s="172"/>
      <c r="O350" s="172"/>
      <c r="P350" s="172"/>
      <c r="Q350" s="172"/>
      <c r="R350" s="172"/>
    </row>
    <row r="351" spans="1:18" ht="15">
      <c r="A351" s="172"/>
      <c r="B351" s="172"/>
      <c r="C351" s="172"/>
      <c r="D351" s="172"/>
      <c r="E351" s="175"/>
      <c r="F351" s="172"/>
      <c r="G351" s="172"/>
      <c r="H351" s="172"/>
      <c r="I351" s="198"/>
      <c r="J351" s="198"/>
      <c r="K351" s="198"/>
      <c r="L351" s="198" t="s">
        <v>363</v>
      </c>
      <c r="M351" s="172"/>
      <c r="N351" s="172"/>
      <c r="O351" s="172"/>
      <c r="P351" s="172"/>
      <c r="Q351" s="172"/>
      <c r="R351" s="172"/>
    </row>
    <row r="352" spans="1:18" ht="15">
      <c r="A352" s="172"/>
      <c r="B352" s="172"/>
      <c r="C352" s="172"/>
      <c r="D352" s="172"/>
      <c r="E352" s="175"/>
      <c r="F352" s="172"/>
      <c r="G352" s="172"/>
      <c r="H352" s="172"/>
      <c r="I352" s="172"/>
      <c r="J352" s="172"/>
      <c r="K352" s="172"/>
      <c r="L352" s="172" t="s">
        <v>403</v>
      </c>
      <c r="M352" s="198"/>
      <c r="N352" s="198"/>
      <c r="O352" s="198"/>
      <c r="P352" s="198"/>
      <c r="Q352" s="198"/>
      <c r="R352" s="198"/>
    </row>
    <row r="353" spans="1:18" ht="14.25" customHeight="1">
      <c r="A353" s="172"/>
      <c r="B353" s="459" t="s">
        <v>365</v>
      </c>
      <c r="C353" s="235"/>
      <c r="D353" s="172"/>
      <c r="E353" s="175"/>
      <c r="F353" s="172"/>
      <c r="G353" s="172"/>
      <c r="H353" s="172"/>
      <c r="I353" s="172"/>
      <c r="J353" s="172"/>
      <c r="K353" s="172"/>
      <c r="L353" s="172" t="s">
        <v>404</v>
      </c>
      <c r="M353" s="172"/>
      <c r="N353" s="172"/>
      <c r="O353" s="172"/>
      <c r="P353" s="172"/>
      <c r="Q353" s="172" t="s">
        <v>115</v>
      </c>
      <c r="R353" s="172"/>
    </row>
    <row r="354" spans="1:18" ht="41.25" customHeight="1">
      <c r="A354" s="172"/>
      <c r="B354" s="709" t="s">
        <v>334</v>
      </c>
      <c r="C354" s="709"/>
      <c r="D354" s="709"/>
      <c r="E354" s="709"/>
      <c r="F354" s="709"/>
      <c r="G354" s="709"/>
      <c r="H354" s="709"/>
      <c r="I354" s="709"/>
      <c r="J354" s="709"/>
      <c r="K354" s="709"/>
      <c r="L354" s="172"/>
      <c r="M354" s="172"/>
      <c r="N354" s="172"/>
      <c r="O354" s="172"/>
      <c r="P354" s="172"/>
      <c r="Q354" s="172"/>
      <c r="R354" s="172"/>
    </row>
    <row r="355" spans="1:18" ht="15" hidden="1">
      <c r="A355" s="172"/>
      <c r="B355" s="172"/>
      <c r="C355" s="172"/>
      <c r="D355" s="172"/>
      <c r="E355" s="175"/>
      <c r="F355" s="172"/>
      <c r="G355" s="172"/>
      <c r="H355" s="172"/>
      <c r="I355" s="176"/>
      <c r="J355" s="176"/>
      <c r="K355" s="176"/>
      <c r="L355" s="176"/>
      <c r="M355" s="176"/>
      <c r="N355" s="176"/>
      <c r="O355" s="176"/>
      <c r="P355" s="176"/>
      <c r="Q355" s="176"/>
      <c r="R355" s="172"/>
    </row>
    <row r="356" spans="1:18" ht="15">
      <c r="A356" s="172"/>
      <c r="B356" s="172"/>
      <c r="C356" s="172"/>
      <c r="D356" s="172"/>
      <c r="E356" s="175"/>
      <c r="F356" s="172"/>
      <c r="G356" s="172"/>
      <c r="H356" s="172"/>
      <c r="I356" s="176"/>
      <c r="J356" s="176"/>
      <c r="K356" s="176"/>
      <c r="L356" s="176"/>
      <c r="M356" s="176"/>
      <c r="N356" s="176"/>
      <c r="O356" s="176"/>
      <c r="P356" s="176"/>
      <c r="Q356" s="176"/>
      <c r="R356" s="172"/>
    </row>
    <row r="357" spans="1:18" ht="15">
      <c r="A357" s="172"/>
      <c r="B357" s="172"/>
      <c r="C357" s="172"/>
      <c r="D357" s="172"/>
      <c r="E357" s="175"/>
      <c r="F357" s="172"/>
      <c r="G357" s="172"/>
      <c r="H357" s="172"/>
      <c r="I357" s="172"/>
      <c r="J357" s="172"/>
      <c r="K357" s="172"/>
      <c r="L357" s="172"/>
      <c r="M357" s="172"/>
      <c r="N357" s="172"/>
      <c r="O357" s="172"/>
      <c r="P357" s="172"/>
      <c r="Q357" s="172"/>
      <c r="R357" s="172"/>
    </row>
    <row r="358" spans="1:18" ht="5.25" customHeight="1">
      <c r="A358" s="172"/>
      <c r="B358" s="172"/>
      <c r="C358" s="172"/>
      <c r="D358" s="172"/>
      <c r="E358" s="175"/>
      <c r="F358" s="172"/>
      <c r="G358" s="172"/>
      <c r="H358" s="172"/>
      <c r="I358" s="172"/>
      <c r="J358" s="172"/>
      <c r="K358" s="172"/>
      <c r="L358" s="172"/>
      <c r="M358" s="172"/>
      <c r="N358" s="172"/>
      <c r="O358" s="172"/>
      <c r="P358" s="172"/>
      <c r="Q358" s="172"/>
      <c r="R358" s="172"/>
    </row>
    <row r="359" spans="1:18" ht="12.75" customHeight="1">
      <c r="A359" s="654" t="s">
        <v>1</v>
      </c>
      <c r="B359" s="236" t="s">
        <v>2</v>
      </c>
      <c r="C359" s="237" t="s">
        <v>4</v>
      </c>
      <c r="D359" s="504" t="s">
        <v>321</v>
      </c>
      <c r="E359" s="504" t="s">
        <v>322</v>
      </c>
      <c r="F359" s="562" t="s">
        <v>7</v>
      </c>
      <c r="G359" s="562"/>
      <c r="H359" s="562"/>
      <c r="I359" s="562"/>
      <c r="J359" s="238"/>
      <c r="K359" s="239"/>
      <c r="L359" s="304"/>
      <c r="M359" s="239" t="s">
        <v>8</v>
      </c>
      <c r="N359" s="305"/>
      <c r="O359" s="237" t="s">
        <v>10</v>
      </c>
      <c r="P359" s="493" t="s">
        <v>339</v>
      </c>
      <c r="Q359" s="473" t="s">
        <v>340</v>
      </c>
      <c r="R359" s="237" t="s">
        <v>13</v>
      </c>
    </row>
    <row r="360" spans="1:18" ht="12.75" customHeight="1">
      <c r="A360" s="655"/>
      <c r="B360" s="242" t="s">
        <v>3</v>
      </c>
      <c r="C360" s="242" t="s">
        <v>5</v>
      </c>
      <c r="D360" s="504"/>
      <c r="E360" s="504"/>
      <c r="F360" s="664" t="s">
        <v>18</v>
      </c>
      <c r="G360" s="523" t="s">
        <v>267</v>
      </c>
      <c r="H360" s="558" t="s">
        <v>245</v>
      </c>
      <c r="I360" s="668" t="s">
        <v>373</v>
      </c>
      <c r="J360" s="306"/>
      <c r="K360" s="498" t="s">
        <v>195</v>
      </c>
      <c r="L360" s="483" t="s">
        <v>113</v>
      </c>
      <c r="M360" s="657" t="s">
        <v>341</v>
      </c>
      <c r="N360" s="557" t="s">
        <v>232</v>
      </c>
      <c r="O360" s="243" t="s">
        <v>11</v>
      </c>
      <c r="P360" s="494"/>
      <c r="Q360" s="474"/>
      <c r="R360" s="243" t="s">
        <v>11</v>
      </c>
    </row>
    <row r="361" spans="1:18" ht="15">
      <c r="A361" s="655"/>
      <c r="B361" s="242"/>
      <c r="C361" s="242" t="s">
        <v>6</v>
      </c>
      <c r="D361" s="504"/>
      <c r="E361" s="504"/>
      <c r="F361" s="664"/>
      <c r="G361" s="483"/>
      <c r="H361" s="558"/>
      <c r="I361" s="558"/>
      <c r="J361" s="244"/>
      <c r="K361" s="499"/>
      <c r="L361" s="483"/>
      <c r="M361" s="658"/>
      <c r="N361" s="558"/>
      <c r="O361" s="307" t="s">
        <v>12</v>
      </c>
      <c r="P361" s="494"/>
      <c r="Q361" s="474"/>
      <c r="R361" s="243" t="s">
        <v>14</v>
      </c>
    </row>
    <row r="362" spans="1:18" ht="15">
      <c r="A362" s="241"/>
      <c r="B362" s="242"/>
      <c r="C362" s="242"/>
      <c r="D362" s="504"/>
      <c r="E362" s="504"/>
      <c r="F362" s="664"/>
      <c r="G362" s="483"/>
      <c r="H362" s="558"/>
      <c r="I362" s="558"/>
      <c r="J362" s="244"/>
      <c r="K362" s="499"/>
      <c r="L362" s="483"/>
      <c r="M362" s="658"/>
      <c r="N362" s="558"/>
      <c r="O362" s="307" t="s">
        <v>115</v>
      </c>
      <c r="P362" s="494"/>
      <c r="Q362" s="474"/>
      <c r="R362" s="243" t="s">
        <v>115</v>
      </c>
    </row>
    <row r="363" spans="1:18" ht="46.5" customHeight="1">
      <c r="A363" s="246"/>
      <c r="B363" s="247"/>
      <c r="C363" s="248"/>
      <c r="D363" s="504"/>
      <c r="E363" s="504"/>
      <c r="F363" s="665"/>
      <c r="G363" s="484"/>
      <c r="H363" s="559"/>
      <c r="I363" s="559"/>
      <c r="J363" s="249" t="s">
        <v>253</v>
      </c>
      <c r="K363" s="500"/>
      <c r="L363" s="484"/>
      <c r="M363" s="659"/>
      <c r="N363" s="559"/>
      <c r="O363" s="308"/>
      <c r="P363" s="495"/>
      <c r="Q363" s="475"/>
      <c r="R363" s="251"/>
    </row>
    <row r="364" spans="1:19" ht="18" customHeight="1">
      <c r="A364" s="266">
        <v>1</v>
      </c>
      <c r="B364" s="251" t="s">
        <v>213</v>
      </c>
      <c r="C364" s="268">
        <v>1</v>
      </c>
      <c r="D364" s="278">
        <v>4800</v>
      </c>
      <c r="E364" s="269">
        <v>17</v>
      </c>
      <c r="F364" s="233">
        <f>(D364+J364)*30%</f>
        <v>1512</v>
      </c>
      <c r="G364" s="233">
        <f>(D364*C364+I364+J364)*5%</f>
        <v>252</v>
      </c>
      <c r="H364" s="233"/>
      <c r="I364" s="233"/>
      <c r="J364" s="233">
        <f>D364*5%</f>
        <v>240</v>
      </c>
      <c r="K364" s="233"/>
      <c r="L364" s="233"/>
      <c r="M364" s="233"/>
      <c r="N364" s="233"/>
      <c r="O364" s="234">
        <f>D364*C364+F364+G364+H364+I364+K364+L364+M364+N364+J364</f>
        <v>6804</v>
      </c>
      <c r="P364" s="234"/>
      <c r="Q364" s="234">
        <f>O364+P364</f>
        <v>6804</v>
      </c>
      <c r="R364" s="234">
        <f>O364*12</f>
        <v>81648</v>
      </c>
      <c r="S364" s="3">
        <f>D364+J364+D366*C366+J366+D368*C368+D369*C369+D370+D372*C372</f>
        <v>35180</v>
      </c>
    </row>
    <row r="365" spans="1:18" ht="15" hidden="1">
      <c r="A365" s="174">
        <v>2</v>
      </c>
      <c r="B365" s="162"/>
      <c r="C365" s="276"/>
      <c r="D365" s="272"/>
      <c r="E365" s="273"/>
      <c r="F365" s="274"/>
      <c r="G365" s="233">
        <f>(D365*C365+I365+J365)*20%</f>
        <v>0</v>
      </c>
      <c r="H365" s="233"/>
      <c r="I365" s="84"/>
      <c r="J365" s="84"/>
      <c r="K365" s="84"/>
      <c r="L365" s="84"/>
      <c r="M365" s="84"/>
      <c r="N365" s="84"/>
      <c r="O365" s="234">
        <f>D365*C365+F365+G365+H365+I365+K365+L365+M365+N365+J365</f>
        <v>0</v>
      </c>
      <c r="P365" s="234"/>
      <c r="Q365" s="234">
        <f aca="true" t="shared" si="27" ref="Q365:Q409">O365+P365</f>
        <v>0</v>
      </c>
      <c r="R365" s="234">
        <f aca="true" t="shared" si="28" ref="R365:R409">O365*12</f>
        <v>0</v>
      </c>
    </row>
    <row r="366" spans="1:18" ht="38.25">
      <c r="A366" s="174">
        <v>2</v>
      </c>
      <c r="B366" s="280" t="s">
        <v>130</v>
      </c>
      <c r="C366" s="276">
        <v>3</v>
      </c>
      <c r="D366" s="423">
        <f>D364*95%</f>
        <v>4560</v>
      </c>
      <c r="E366" s="227" t="s">
        <v>325</v>
      </c>
      <c r="F366" s="233">
        <f>(D366*C366+J366)*30%</f>
        <v>4172.4</v>
      </c>
      <c r="G366" s="233">
        <f aca="true" t="shared" si="29" ref="G366:G372">(D366*C366+I366+J366)*5%</f>
        <v>695.4000000000001</v>
      </c>
      <c r="H366" s="233"/>
      <c r="I366" s="84"/>
      <c r="J366" s="84">
        <f>D366*5%</f>
        <v>228</v>
      </c>
      <c r="K366" s="84"/>
      <c r="L366" s="84"/>
      <c r="M366" s="84"/>
      <c r="N366" s="84"/>
      <c r="O366" s="234">
        <f>D366*C366+F366+G366+H366+I366+K366+L366+M366+N366+J366</f>
        <v>18775.800000000003</v>
      </c>
      <c r="P366" s="234"/>
      <c r="Q366" s="234">
        <f t="shared" si="27"/>
        <v>18775.800000000003</v>
      </c>
      <c r="R366" s="234">
        <f t="shared" si="28"/>
        <v>225309.60000000003</v>
      </c>
    </row>
    <row r="367" spans="1:18" ht="28.5" customHeight="1">
      <c r="A367" s="174">
        <v>3</v>
      </c>
      <c r="B367" s="281" t="s">
        <v>250</v>
      </c>
      <c r="C367" s="276">
        <v>0.5</v>
      </c>
      <c r="D367" s="423">
        <f>D364*95%</f>
        <v>4560</v>
      </c>
      <c r="E367" s="273"/>
      <c r="F367" s="233">
        <f>(D367*C367+H367)*20%</f>
        <v>456</v>
      </c>
      <c r="G367" s="233">
        <f t="shared" si="29"/>
        <v>114</v>
      </c>
      <c r="H367" s="233"/>
      <c r="I367" s="84"/>
      <c r="J367" s="84"/>
      <c r="K367" s="84"/>
      <c r="L367" s="84"/>
      <c r="M367" s="84"/>
      <c r="N367" s="84"/>
      <c r="O367" s="234">
        <f>D367*C367+F367+G367+H367+I367+K367+L367+M367+N367</f>
        <v>2850</v>
      </c>
      <c r="P367" s="234"/>
      <c r="Q367" s="234">
        <f t="shared" si="27"/>
        <v>2850</v>
      </c>
      <c r="R367" s="234">
        <f t="shared" si="28"/>
        <v>34200</v>
      </c>
    </row>
    <row r="368" spans="1:18" ht="40.5" customHeight="1">
      <c r="A368" s="174">
        <v>4</v>
      </c>
      <c r="B368" s="281" t="s">
        <v>145</v>
      </c>
      <c r="C368" s="276">
        <v>1</v>
      </c>
      <c r="D368" s="423">
        <v>3872</v>
      </c>
      <c r="E368" s="468">
        <v>14</v>
      </c>
      <c r="F368" s="233">
        <f>(D368*C368+H368)*20%</f>
        <v>774.4000000000001</v>
      </c>
      <c r="G368" s="233">
        <f t="shared" si="29"/>
        <v>193.60000000000002</v>
      </c>
      <c r="H368" s="233"/>
      <c r="I368" s="84"/>
      <c r="J368" s="84"/>
      <c r="K368" s="84"/>
      <c r="L368" s="84"/>
      <c r="M368" s="84"/>
      <c r="N368" s="84"/>
      <c r="O368" s="234">
        <f>D368*C368+F368+G368+H368+I368+K368+L368+M368+N368</f>
        <v>4840</v>
      </c>
      <c r="P368" s="412"/>
      <c r="Q368" s="234">
        <f t="shared" si="27"/>
        <v>4840</v>
      </c>
      <c r="R368" s="234">
        <f t="shared" si="28"/>
        <v>58080</v>
      </c>
    </row>
    <row r="369" spans="1:19" ht="18" customHeight="1">
      <c r="A369" s="174">
        <v>5</v>
      </c>
      <c r="B369" s="162" t="s">
        <v>34</v>
      </c>
      <c r="C369" s="84">
        <v>0.75</v>
      </c>
      <c r="D369" s="278">
        <v>3872</v>
      </c>
      <c r="E369" s="293">
        <v>14</v>
      </c>
      <c r="F369" s="233">
        <f>(D369*C369+H369)*30%</f>
        <v>871.1999999999999</v>
      </c>
      <c r="G369" s="233">
        <f t="shared" si="29"/>
        <v>145.20000000000002</v>
      </c>
      <c r="H369" s="84"/>
      <c r="I369" s="84"/>
      <c r="J369" s="84"/>
      <c r="K369" s="84"/>
      <c r="L369" s="84"/>
      <c r="M369" s="84"/>
      <c r="N369" s="84"/>
      <c r="O369" s="234">
        <f aca="true" t="shared" si="30" ref="O369:O374">D369*C369+F369+G369+H369+I369+K369+L369+M369+N369</f>
        <v>3920.3999999999996</v>
      </c>
      <c r="P369" s="412"/>
      <c r="Q369" s="234">
        <f t="shared" si="27"/>
        <v>3920.3999999999996</v>
      </c>
      <c r="R369" s="234">
        <f t="shared" si="28"/>
        <v>47044.799999999996</v>
      </c>
      <c r="S369" s="16"/>
    </row>
    <row r="370" spans="1:18" ht="13.5" customHeight="1">
      <c r="A370" s="174">
        <v>6</v>
      </c>
      <c r="B370" s="162" t="s">
        <v>21</v>
      </c>
      <c r="C370" s="276">
        <v>1</v>
      </c>
      <c r="D370" s="278">
        <v>3152</v>
      </c>
      <c r="E370" s="293">
        <v>11</v>
      </c>
      <c r="F370" s="233">
        <f>D370*20%</f>
        <v>630.4000000000001</v>
      </c>
      <c r="G370" s="233">
        <f t="shared" si="29"/>
        <v>157.60000000000002</v>
      </c>
      <c r="H370" s="277"/>
      <c r="I370" s="84"/>
      <c r="J370" s="84"/>
      <c r="K370" s="84"/>
      <c r="L370" s="84"/>
      <c r="M370" s="84"/>
      <c r="N370" s="84"/>
      <c r="O370" s="234">
        <f t="shared" si="30"/>
        <v>3940</v>
      </c>
      <c r="P370" s="412"/>
      <c r="Q370" s="234">
        <f t="shared" si="27"/>
        <v>3940</v>
      </c>
      <c r="R370" s="234">
        <f t="shared" si="28"/>
        <v>47280</v>
      </c>
    </row>
    <row r="371" spans="1:18" ht="48.75" customHeight="1">
      <c r="A371" s="174">
        <v>7</v>
      </c>
      <c r="B371" s="281" t="s">
        <v>408</v>
      </c>
      <c r="C371" s="276">
        <v>1.5</v>
      </c>
      <c r="D371" s="278">
        <v>3872</v>
      </c>
      <c r="E371" s="293">
        <v>14</v>
      </c>
      <c r="F371" s="233">
        <f>D371*20%</f>
        <v>774.4000000000001</v>
      </c>
      <c r="G371" s="233">
        <f t="shared" si="29"/>
        <v>363</v>
      </c>
      <c r="H371" s="277"/>
      <c r="I371" s="84">
        <f>D371*C371*25%</f>
        <v>1452</v>
      </c>
      <c r="J371" s="84"/>
      <c r="K371" s="84"/>
      <c r="L371" s="84"/>
      <c r="M371" s="84"/>
      <c r="N371" s="84"/>
      <c r="O371" s="234">
        <f>D371*C371+F371+G371+H371+I371+K371+L371+M371+N371</f>
        <v>8397.4</v>
      </c>
      <c r="P371" s="412"/>
      <c r="Q371" s="234">
        <f t="shared" si="27"/>
        <v>8397.4</v>
      </c>
      <c r="R371" s="234">
        <f t="shared" si="28"/>
        <v>100768.79999999999</v>
      </c>
    </row>
    <row r="372" spans="1:18" ht="14.25" customHeight="1">
      <c r="A372" s="174">
        <v>8</v>
      </c>
      <c r="B372" s="162" t="s">
        <v>32</v>
      </c>
      <c r="C372" s="276">
        <v>2</v>
      </c>
      <c r="D372" s="278">
        <v>3152</v>
      </c>
      <c r="E372" s="293">
        <v>11</v>
      </c>
      <c r="F372" s="233">
        <f>D372*20%</f>
        <v>630.4000000000001</v>
      </c>
      <c r="G372" s="233">
        <f t="shared" si="29"/>
        <v>315.20000000000005</v>
      </c>
      <c r="H372" s="277"/>
      <c r="I372" s="84"/>
      <c r="J372" s="84"/>
      <c r="K372" s="84"/>
      <c r="L372" s="84"/>
      <c r="M372" s="84"/>
      <c r="N372" s="84"/>
      <c r="O372" s="234">
        <f t="shared" si="30"/>
        <v>7249.599999999999</v>
      </c>
      <c r="P372" s="412"/>
      <c r="Q372" s="234">
        <f t="shared" si="27"/>
        <v>7249.599999999999</v>
      </c>
      <c r="R372" s="234">
        <f t="shared" si="28"/>
        <v>86995.2</v>
      </c>
    </row>
    <row r="373" spans="1:18" ht="14.25" customHeight="1">
      <c r="A373" s="174">
        <v>9</v>
      </c>
      <c r="B373" s="162" t="s">
        <v>205</v>
      </c>
      <c r="C373" s="276">
        <v>1</v>
      </c>
      <c r="D373" s="278">
        <v>3392</v>
      </c>
      <c r="E373" s="293">
        <v>12</v>
      </c>
      <c r="F373" s="233">
        <f>D373*30%</f>
        <v>1017.5999999999999</v>
      </c>
      <c r="G373" s="233"/>
      <c r="H373" s="84">
        <f>D373*15%</f>
        <v>508.79999999999995</v>
      </c>
      <c r="I373" s="84"/>
      <c r="J373" s="84"/>
      <c r="K373" s="84"/>
      <c r="L373" s="84"/>
      <c r="M373" s="84"/>
      <c r="N373" s="84"/>
      <c r="O373" s="234">
        <f t="shared" si="30"/>
        <v>4918.400000000001</v>
      </c>
      <c r="P373" s="412"/>
      <c r="Q373" s="234">
        <f t="shared" si="27"/>
        <v>4918.400000000001</v>
      </c>
      <c r="R373" s="234">
        <f t="shared" si="28"/>
        <v>59020.8</v>
      </c>
    </row>
    <row r="374" spans="1:18" ht="28.5" customHeight="1">
      <c r="A374" s="174">
        <v>10</v>
      </c>
      <c r="B374" s="281" t="s">
        <v>374</v>
      </c>
      <c r="C374" s="276">
        <v>1</v>
      </c>
      <c r="D374" s="278">
        <v>3872</v>
      </c>
      <c r="E374" s="293">
        <v>14</v>
      </c>
      <c r="F374" s="233">
        <f>D374*20%</f>
        <v>774.4000000000001</v>
      </c>
      <c r="G374" s="84">
        <f>(D374+I374)*5%</f>
        <v>242</v>
      </c>
      <c r="H374" s="84"/>
      <c r="I374" s="84">
        <f>D374*25%</f>
        <v>968</v>
      </c>
      <c r="J374" s="84"/>
      <c r="K374" s="84"/>
      <c r="L374" s="84"/>
      <c r="M374" s="84"/>
      <c r="N374" s="84"/>
      <c r="O374" s="234">
        <f t="shared" si="30"/>
        <v>5856.4</v>
      </c>
      <c r="P374" s="412"/>
      <c r="Q374" s="234">
        <f t="shared" si="27"/>
        <v>5856.4</v>
      </c>
      <c r="R374" s="234">
        <f t="shared" si="28"/>
        <v>70276.79999999999</v>
      </c>
    </row>
    <row r="375" spans="1:24" ht="33.75" customHeight="1">
      <c r="A375" s="174">
        <v>11</v>
      </c>
      <c r="B375" s="309" t="s">
        <v>214</v>
      </c>
      <c r="C375" s="276">
        <v>1</v>
      </c>
      <c r="D375" s="278">
        <f>D364*85%</f>
        <v>4080</v>
      </c>
      <c r="E375" s="227" t="s">
        <v>335</v>
      </c>
      <c r="F375" s="84"/>
      <c r="G375" s="84"/>
      <c r="H375" s="84"/>
      <c r="I375" s="84"/>
      <c r="J375" s="84"/>
      <c r="K375" s="84"/>
      <c r="L375" s="84"/>
      <c r="M375" s="84"/>
      <c r="N375" s="84"/>
      <c r="O375" s="234">
        <f>D375*C375+F375+G375+H375+I375+K375+L375+M375+N375</f>
        <v>4080</v>
      </c>
      <c r="P375" s="412"/>
      <c r="Q375" s="234">
        <f t="shared" si="27"/>
        <v>4080</v>
      </c>
      <c r="R375" s="234">
        <f t="shared" si="28"/>
        <v>48960</v>
      </c>
      <c r="X375" s="47"/>
    </row>
    <row r="376" spans="1:24" ht="15">
      <c r="A376" s="174">
        <v>12</v>
      </c>
      <c r="B376" s="279" t="s">
        <v>203</v>
      </c>
      <c r="C376" s="276">
        <v>1</v>
      </c>
      <c r="D376" s="278">
        <v>2624</v>
      </c>
      <c r="E376" s="302">
        <v>8</v>
      </c>
      <c r="F376" s="84"/>
      <c r="G376" s="84"/>
      <c r="H376" s="84"/>
      <c r="I376" s="84"/>
      <c r="J376" s="84"/>
      <c r="K376" s="84"/>
      <c r="L376" s="84"/>
      <c r="M376" s="84"/>
      <c r="N376" s="84"/>
      <c r="O376" s="234">
        <f>D376*C376+F376+G376+H376+I376+K376+L376+M376+N376</f>
        <v>2624</v>
      </c>
      <c r="P376" s="412">
        <f aca="true" t="shared" si="31" ref="P376:P409">3200*C376-(O376-L376-M376-N376)</f>
        <v>576</v>
      </c>
      <c r="Q376" s="234">
        <f t="shared" si="27"/>
        <v>3200</v>
      </c>
      <c r="R376" s="234">
        <f t="shared" si="28"/>
        <v>31488</v>
      </c>
      <c r="X376" s="47"/>
    </row>
    <row r="377" spans="1:18" ht="15.75" customHeight="1">
      <c r="A377" s="174">
        <v>13</v>
      </c>
      <c r="B377" s="309" t="s">
        <v>221</v>
      </c>
      <c r="C377" s="276">
        <v>1</v>
      </c>
      <c r="D377" s="278">
        <v>2320</v>
      </c>
      <c r="E377" s="293">
        <v>6</v>
      </c>
      <c r="F377" s="84">
        <f>D377*20%</f>
        <v>464</v>
      </c>
      <c r="G377" s="84"/>
      <c r="H377" s="84"/>
      <c r="I377" s="84"/>
      <c r="J377" s="84"/>
      <c r="K377" s="84"/>
      <c r="L377" s="84"/>
      <c r="M377" s="84"/>
      <c r="N377" s="84">
        <f>D377*7%</f>
        <v>162.4</v>
      </c>
      <c r="O377" s="234">
        <f aca="true" t="shared" si="32" ref="O377:O385">D377*C377+F377+G377+H377+I377+K377+L377+M377+N377</f>
        <v>2946.4</v>
      </c>
      <c r="P377" s="412">
        <f t="shared" si="31"/>
        <v>416</v>
      </c>
      <c r="Q377" s="234">
        <f t="shared" si="27"/>
        <v>3362.4</v>
      </c>
      <c r="R377" s="234">
        <f t="shared" si="28"/>
        <v>35356.8</v>
      </c>
    </row>
    <row r="378" spans="1:18" ht="14.25" customHeight="1">
      <c r="A378" s="174">
        <v>14</v>
      </c>
      <c r="B378" s="162" t="s">
        <v>23</v>
      </c>
      <c r="C378" s="276">
        <v>1</v>
      </c>
      <c r="D378" s="278">
        <v>2176</v>
      </c>
      <c r="E378" s="293">
        <v>5</v>
      </c>
      <c r="F378" s="84"/>
      <c r="G378" s="84"/>
      <c r="H378" s="84"/>
      <c r="I378" s="84"/>
      <c r="J378" s="84"/>
      <c r="K378" s="84"/>
      <c r="L378" s="84"/>
      <c r="M378" s="84"/>
      <c r="N378" s="84"/>
      <c r="O378" s="234">
        <f t="shared" si="32"/>
        <v>2176</v>
      </c>
      <c r="P378" s="412">
        <f t="shared" si="31"/>
        <v>1024</v>
      </c>
      <c r="Q378" s="234">
        <f t="shared" si="27"/>
        <v>3200</v>
      </c>
      <c r="R378" s="234">
        <f t="shared" si="28"/>
        <v>26112</v>
      </c>
    </row>
    <row r="379" spans="1:19" ht="12.75" customHeight="1">
      <c r="A379" s="174">
        <v>15</v>
      </c>
      <c r="B379" s="162" t="s">
        <v>24</v>
      </c>
      <c r="C379" s="84">
        <v>0.5</v>
      </c>
      <c r="D379" s="278">
        <v>2032</v>
      </c>
      <c r="E379" s="293">
        <v>4</v>
      </c>
      <c r="F379" s="84"/>
      <c r="G379" s="84"/>
      <c r="H379" s="84"/>
      <c r="I379" s="84"/>
      <c r="J379" s="84"/>
      <c r="K379" s="84"/>
      <c r="L379" s="84"/>
      <c r="M379" s="84"/>
      <c r="N379" s="84"/>
      <c r="O379" s="234">
        <f t="shared" si="32"/>
        <v>1016</v>
      </c>
      <c r="P379" s="412">
        <f t="shared" si="31"/>
        <v>584</v>
      </c>
      <c r="Q379" s="234">
        <f t="shared" si="27"/>
        <v>1600</v>
      </c>
      <c r="R379" s="234">
        <f t="shared" si="28"/>
        <v>12192</v>
      </c>
      <c r="S379" s="16"/>
    </row>
    <row r="380" spans="1:18" ht="41.25" customHeight="1">
      <c r="A380" s="174">
        <v>16</v>
      </c>
      <c r="B380" s="280" t="s">
        <v>182</v>
      </c>
      <c r="C380" s="276">
        <v>1</v>
      </c>
      <c r="D380" s="278">
        <v>2032</v>
      </c>
      <c r="E380" s="293">
        <v>4</v>
      </c>
      <c r="F380" s="84"/>
      <c r="G380" s="84"/>
      <c r="H380" s="84"/>
      <c r="I380" s="84"/>
      <c r="J380" s="84"/>
      <c r="K380" s="84"/>
      <c r="L380" s="84"/>
      <c r="M380" s="84"/>
      <c r="N380" s="84"/>
      <c r="O380" s="234">
        <f t="shared" si="32"/>
        <v>2032</v>
      </c>
      <c r="P380" s="412">
        <f t="shared" si="31"/>
        <v>1168</v>
      </c>
      <c r="Q380" s="234">
        <f t="shared" si="27"/>
        <v>3200</v>
      </c>
      <c r="R380" s="234">
        <f t="shared" si="28"/>
        <v>24384</v>
      </c>
    </row>
    <row r="381" spans="1:18" ht="16.5" customHeight="1">
      <c r="A381" s="174">
        <v>17</v>
      </c>
      <c r="B381" s="162" t="s">
        <v>27</v>
      </c>
      <c r="C381" s="84">
        <v>2.75</v>
      </c>
      <c r="D381" s="278">
        <v>1744</v>
      </c>
      <c r="E381" s="293">
        <v>2</v>
      </c>
      <c r="F381" s="84"/>
      <c r="G381" s="84"/>
      <c r="H381" s="84"/>
      <c r="I381" s="84"/>
      <c r="J381" s="84"/>
      <c r="K381" s="84"/>
      <c r="L381" s="84"/>
      <c r="M381" s="84">
        <f>D381*40%*C381</f>
        <v>1918.4</v>
      </c>
      <c r="N381" s="84"/>
      <c r="O381" s="234">
        <f t="shared" si="32"/>
        <v>6714.4</v>
      </c>
      <c r="P381" s="412">
        <f t="shared" si="31"/>
        <v>4004</v>
      </c>
      <c r="Q381" s="234">
        <f t="shared" si="27"/>
        <v>10718.4</v>
      </c>
      <c r="R381" s="234">
        <f t="shared" si="28"/>
        <v>80572.79999999999</v>
      </c>
    </row>
    <row r="382" spans="1:18" ht="28.5">
      <c r="A382" s="174">
        <v>18</v>
      </c>
      <c r="B382" s="281" t="s">
        <v>193</v>
      </c>
      <c r="C382" s="276">
        <v>9</v>
      </c>
      <c r="D382" s="278">
        <v>1744</v>
      </c>
      <c r="E382" s="293">
        <v>2</v>
      </c>
      <c r="F382" s="84"/>
      <c r="G382" s="84"/>
      <c r="H382" s="84"/>
      <c r="I382" s="84"/>
      <c r="J382" s="84"/>
      <c r="K382" s="84"/>
      <c r="L382" s="84">
        <f>D382*10%*10</f>
        <v>1744</v>
      </c>
      <c r="M382" s="84"/>
      <c r="N382" s="84"/>
      <c r="O382" s="234">
        <f t="shared" si="32"/>
        <v>17440</v>
      </c>
      <c r="P382" s="412">
        <f t="shared" si="31"/>
        <v>13104</v>
      </c>
      <c r="Q382" s="234">
        <f t="shared" si="27"/>
        <v>30544</v>
      </c>
      <c r="R382" s="234">
        <f t="shared" si="28"/>
        <v>209280</v>
      </c>
    </row>
    <row r="383" spans="1:18" ht="29.25" customHeight="1">
      <c r="A383" s="174">
        <v>19</v>
      </c>
      <c r="B383" s="281" t="s">
        <v>106</v>
      </c>
      <c r="C383" s="276">
        <v>1</v>
      </c>
      <c r="D383" s="278">
        <v>2032</v>
      </c>
      <c r="E383" s="293">
        <v>4</v>
      </c>
      <c r="F383" s="84"/>
      <c r="G383" s="84"/>
      <c r="H383" s="84"/>
      <c r="I383" s="84"/>
      <c r="J383" s="84"/>
      <c r="K383" s="84"/>
      <c r="L383" s="84"/>
      <c r="M383" s="84">
        <f>D383*C383*40%</f>
        <v>812.8000000000001</v>
      </c>
      <c r="N383" s="84"/>
      <c r="O383" s="234">
        <f t="shared" si="32"/>
        <v>2844.8</v>
      </c>
      <c r="P383" s="412">
        <f t="shared" si="31"/>
        <v>1168</v>
      </c>
      <c r="Q383" s="234">
        <f t="shared" si="27"/>
        <v>4012.8</v>
      </c>
      <c r="R383" s="234">
        <f t="shared" si="28"/>
        <v>34137.600000000006</v>
      </c>
    </row>
    <row r="384" spans="1:18" ht="29.25" customHeight="1" hidden="1">
      <c r="A384" s="174">
        <v>20</v>
      </c>
      <c r="B384" s="280"/>
      <c r="C384" s="276"/>
      <c r="D384" s="278"/>
      <c r="E384" s="302"/>
      <c r="F384" s="84"/>
      <c r="G384" s="84"/>
      <c r="H384" s="84"/>
      <c r="I384" s="84"/>
      <c r="J384" s="84"/>
      <c r="K384" s="84"/>
      <c r="L384" s="84"/>
      <c r="M384" s="84">
        <f>D384*C384*40%</f>
        <v>0</v>
      </c>
      <c r="N384" s="84"/>
      <c r="O384" s="234">
        <f t="shared" si="32"/>
        <v>0</v>
      </c>
      <c r="P384" s="412">
        <f t="shared" si="31"/>
        <v>0</v>
      </c>
      <c r="Q384" s="234">
        <f t="shared" si="27"/>
        <v>0</v>
      </c>
      <c r="R384" s="234">
        <f>O384*6</f>
        <v>0</v>
      </c>
    </row>
    <row r="385" spans="1:18" ht="15" customHeight="1">
      <c r="A385" s="174">
        <v>20</v>
      </c>
      <c r="B385" s="162" t="s">
        <v>25</v>
      </c>
      <c r="C385" s="276">
        <v>3</v>
      </c>
      <c r="D385" s="278">
        <v>2176</v>
      </c>
      <c r="E385" s="293">
        <v>5</v>
      </c>
      <c r="F385" s="84"/>
      <c r="G385" s="84"/>
      <c r="H385" s="84"/>
      <c r="I385" s="84"/>
      <c r="J385" s="84"/>
      <c r="K385" s="283">
        <f>D385*C385*12%</f>
        <v>783.36</v>
      </c>
      <c r="L385" s="84"/>
      <c r="M385" s="84"/>
      <c r="N385" s="84">
        <f>D385*20%+D385*C385*15%</f>
        <v>1414.4</v>
      </c>
      <c r="O385" s="234">
        <f t="shared" si="32"/>
        <v>8725.76</v>
      </c>
      <c r="P385" s="412">
        <f t="shared" si="31"/>
        <v>2288.6399999999994</v>
      </c>
      <c r="Q385" s="234">
        <f t="shared" si="27"/>
        <v>11014.4</v>
      </c>
      <c r="R385" s="234">
        <f t="shared" si="28"/>
        <v>104709.12</v>
      </c>
    </row>
    <row r="386" spans="1:18" ht="18" customHeight="1">
      <c r="A386" s="174">
        <v>21</v>
      </c>
      <c r="B386" s="162" t="s">
        <v>151</v>
      </c>
      <c r="C386" s="276">
        <v>1</v>
      </c>
      <c r="D386" s="278">
        <v>1600</v>
      </c>
      <c r="E386" s="293">
        <v>1</v>
      </c>
      <c r="F386" s="84"/>
      <c r="G386" s="84"/>
      <c r="H386" s="84"/>
      <c r="I386" s="84"/>
      <c r="J386" s="84"/>
      <c r="K386" s="283">
        <f>D386*C386*12%</f>
        <v>192</v>
      </c>
      <c r="L386" s="84"/>
      <c r="M386" s="84"/>
      <c r="N386" s="84">
        <f>D386*C386*15%</f>
        <v>240</v>
      </c>
      <c r="O386" s="234">
        <f>D386*C386+F386+G386+H386+I386+K386+L386+M386+N386</f>
        <v>2032</v>
      </c>
      <c r="P386" s="412">
        <f t="shared" si="31"/>
        <v>1408</v>
      </c>
      <c r="Q386" s="234">
        <f t="shared" si="27"/>
        <v>3440</v>
      </c>
      <c r="R386" s="234">
        <f t="shared" si="28"/>
        <v>24384</v>
      </c>
    </row>
    <row r="387" spans="1:18" ht="15" customHeight="1">
      <c r="A387" s="174">
        <v>22</v>
      </c>
      <c r="B387" s="162" t="s">
        <v>30</v>
      </c>
      <c r="C387" s="276">
        <v>1</v>
      </c>
      <c r="D387" s="278">
        <v>1600</v>
      </c>
      <c r="E387" s="293">
        <v>1</v>
      </c>
      <c r="F387" s="84"/>
      <c r="G387" s="84"/>
      <c r="H387" s="84"/>
      <c r="I387" s="84"/>
      <c r="J387" s="84"/>
      <c r="K387" s="283"/>
      <c r="L387" s="84"/>
      <c r="M387" s="84"/>
      <c r="N387" s="84"/>
      <c r="O387" s="234">
        <f>D387*C387+F387+G387+H387+I387+K387+L387+M387+N387</f>
        <v>1600</v>
      </c>
      <c r="P387" s="412">
        <f t="shared" si="31"/>
        <v>1600</v>
      </c>
      <c r="Q387" s="234">
        <f t="shared" si="27"/>
        <v>3200</v>
      </c>
      <c r="R387" s="234">
        <f>O387*12</f>
        <v>19200</v>
      </c>
    </row>
    <row r="388" spans="1:18" ht="15" customHeight="1">
      <c r="A388" s="174">
        <v>23</v>
      </c>
      <c r="B388" s="162" t="s">
        <v>31</v>
      </c>
      <c r="C388" s="276">
        <v>1</v>
      </c>
      <c r="D388" s="278">
        <v>1744</v>
      </c>
      <c r="E388" s="293">
        <v>2</v>
      </c>
      <c r="F388" s="84"/>
      <c r="G388" s="84"/>
      <c r="H388" s="84"/>
      <c r="I388" s="84"/>
      <c r="J388" s="84"/>
      <c r="K388" s="283"/>
      <c r="L388" s="84"/>
      <c r="M388" s="84"/>
      <c r="N388" s="84"/>
      <c r="O388" s="234">
        <f>D388*C388+F388+G388+H388+I388+K388+L388+M388+N388</f>
        <v>1744</v>
      </c>
      <c r="P388" s="412">
        <f t="shared" si="31"/>
        <v>1456</v>
      </c>
      <c r="Q388" s="234">
        <f t="shared" si="27"/>
        <v>3200</v>
      </c>
      <c r="R388" s="234">
        <f>O388*6</f>
        <v>10464</v>
      </c>
    </row>
    <row r="389" spans="1:18" ht="15.75" customHeight="1">
      <c r="A389" s="174"/>
      <c r="B389" s="310" t="s">
        <v>291</v>
      </c>
      <c r="C389" s="276"/>
      <c r="D389" s="278"/>
      <c r="E389" s="293"/>
      <c r="F389" s="84"/>
      <c r="G389" s="84"/>
      <c r="H389" s="84"/>
      <c r="I389" s="84"/>
      <c r="J389" s="84"/>
      <c r="K389" s="283"/>
      <c r="L389" s="84"/>
      <c r="M389" s="84"/>
      <c r="N389" s="84"/>
      <c r="O389" s="234"/>
      <c r="P389" s="412">
        <f t="shared" si="31"/>
        <v>0</v>
      </c>
      <c r="Q389" s="234">
        <f t="shared" si="27"/>
        <v>0</v>
      </c>
      <c r="R389" s="234"/>
    </row>
    <row r="390" spans="1:19" ht="15.75" customHeight="1">
      <c r="A390" s="174">
        <v>24</v>
      </c>
      <c r="B390" s="161" t="s">
        <v>295</v>
      </c>
      <c r="C390" s="276">
        <v>0.5</v>
      </c>
      <c r="D390" s="278">
        <v>3632</v>
      </c>
      <c r="E390" s="293">
        <v>13</v>
      </c>
      <c r="F390" s="84">
        <f>D390*C390*20%</f>
        <v>363.20000000000005</v>
      </c>
      <c r="G390" s="84">
        <f>(D390*C390+I390)*5%</f>
        <v>90.80000000000001</v>
      </c>
      <c r="H390" s="84"/>
      <c r="I390" s="84"/>
      <c r="J390" s="84"/>
      <c r="K390" s="283"/>
      <c r="L390" s="84"/>
      <c r="M390" s="84"/>
      <c r="N390" s="84"/>
      <c r="O390" s="234">
        <f aca="true" t="shared" si="33" ref="O390:O407">D390*C390+F390+G390+H390+I390+K390+L390+M390+N390</f>
        <v>2270</v>
      </c>
      <c r="P390" s="412"/>
      <c r="Q390" s="234">
        <f t="shared" si="27"/>
        <v>2270</v>
      </c>
      <c r="R390" s="234">
        <f t="shared" si="28"/>
        <v>27240</v>
      </c>
      <c r="S390" s="3">
        <f>D390*C390+D391+D392*C392+D393+D395*C395+D396*C396+D397*C397+D398+I394+I395</f>
        <v>78379.6</v>
      </c>
    </row>
    <row r="391" spans="1:18" ht="13.5" customHeight="1">
      <c r="A391" s="174">
        <v>25</v>
      </c>
      <c r="B391" s="162" t="s">
        <v>293</v>
      </c>
      <c r="C391" s="276">
        <v>1</v>
      </c>
      <c r="D391" s="278">
        <v>3392</v>
      </c>
      <c r="E391" s="293">
        <v>12</v>
      </c>
      <c r="F391" s="84">
        <f>D391*C391*20%</f>
        <v>678.4000000000001</v>
      </c>
      <c r="G391" s="84">
        <f>(D391*C391+I391)*5%</f>
        <v>169.60000000000002</v>
      </c>
      <c r="H391" s="84"/>
      <c r="I391" s="84"/>
      <c r="J391" s="84"/>
      <c r="K391" s="283"/>
      <c r="L391" s="84"/>
      <c r="M391" s="84"/>
      <c r="N391" s="84"/>
      <c r="O391" s="234">
        <f t="shared" si="33"/>
        <v>4240</v>
      </c>
      <c r="P391" s="412"/>
      <c r="Q391" s="234">
        <f t="shared" si="27"/>
        <v>4240</v>
      </c>
      <c r="R391" s="234">
        <f t="shared" si="28"/>
        <v>50880</v>
      </c>
    </row>
    <row r="392" spans="1:18" ht="15.75" customHeight="1">
      <c r="A392" s="174">
        <v>26</v>
      </c>
      <c r="B392" s="162" t="s">
        <v>215</v>
      </c>
      <c r="C392" s="276">
        <v>2</v>
      </c>
      <c r="D392" s="278">
        <v>3632</v>
      </c>
      <c r="E392" s="294" t="s">
        <v>348</v>
      </c>
      <c r="F392" s="84">
        <f>D392*C392*30%</f>
        <v>2179.2</v>
      </c>
      <c r="G392" s="84">
        <f>(D392*C392+I392)*5%</f>
        <v>363.20000000000005</v>
      </c>
      <c r="H392" s="84"/>
      <c r="I392" s="84"/>
      <c r="J392" s="84"/>
      <c r="K392" s="84"/>
      <c r="L392" s="84"/>
      <c r="M392" s="84"/>
      <c r="N392" s="283"/>
      <c r="O392" s="234">
        <f t="shared" si="33"/>
        <v>9806.400000000001</v>
      </c>
      <c r="P392" s="412"/>
      <c r="Q392" s="234">
        <f t="shared" si="27"/>
        <v>9806.400000000001</v>
      </c>
      <c r="R392" s="234">
        <f t="shared" si="28"/>
        <v>117676.80000000002</v>
      </c>
    </row>
    <row r="393" spans="1:23" ht="15.75" customHeight="1">
      <c r="A393" s="174">
        <v>27</v>
      </c>
      <c r="B393" s="162" t="s">
        <v>216</v>
      </c>
      <c r="C393" s="276">
        <v>1</v>
      </c>
      <c r="D393" s="278">
        <v>2768</v>
      </c>
      <c r="E393" s="294" t="s">
        <v>375</v>
      </c>
      <c r="F393" s="84">
        <f>D393*C393*30%</f>
        <v>830.4</v>
      </c>
      <c r="G393" s="84">
        <f>(D393*C393+I393)*5%</f>
        <v>138.4</v>
      </c>
      <c r="H393" s="84"/>
      <c r="I393" s="84"/>
      <c r="J393" s="84"/>
      <c r="K393" s="84"/>
      <c r="L393" s="84"/>
      <c r="M393" s="84"/>
      <c r="N393" s="283"/>
      <c r="O393" s="234">
        <f t="shared" si="33"/>
        <v>3736.8</v>
      </c>
      <c r="P393" s="412"/>
      <c r="Q393" s="234">
        <f t="shared" si="27"/>
        <v>3736.8</v>
      </c>
      <c r="R393" s="234">
        <f t="shared" si="28"/>
        <v>44841.600000000006</v>
      </c>
      <c r="W393" s="3" t="s">
        <v>269</v>
      </c>
    </row>
    <row r="394" spans="1:23" ht="12.75" customHeight="1">
      <c r="A394" s="174">
        <v>28</v>
      </c>
      <c r="B394" s="162" t="s">
        <v>150</v>
      </c>
      <c r="C394" s="276">
        <v>1</v>
      </c>
      <c r="D394" s="278">
        <v>2320</v>
      </c>
      <c r="E394" s="294">
        <v>6</v>
      </c>
      <c r="F394" s="84">
        <f>(D394*C394+I394)*30%</f>
        <v>765.6</v>
      </c>
      <c r="G394" s="84"/>
      <c r="H394" s="84"/>
      <c r="I394" s="84">
        <f>D394*10%</f>
        <v>232</v>
      </c>
      <c r="J394" s="84"/>
      <c r="K394" s="84"/>
      <c r="L394" s="84"/>
      <c r="M394" s="84"/>
      <c r="N394" s="283"/>
      <c r="O394" s="234">
        <f t="shared" si="33"/>
        <v>3317.6</v>
      </c>
      <c r="P394" s="412"/>
      <c r="Q394" s="234">
        <f t="shared" si="27"/>
        <v>3317.6</v>
      </c>
      <c r="R394" s="234">
        <f t="shared" si="28"/>
        <v>39811.2</v>
      </c>
      <c r="W394" s="3">
        <f>D364+D366*C366+D368+D369*C369+D370+D371+D372*C372+D373+D374+D375+D376+D377+D378+D379*C379+D380*C380+D381*C381+D382*C382+D385*C385+D386*C386+D387*C387+D388*C388</f>
        <v>92060</v>
      </c>
    </row>
    <row r="395" spans="1:23" ht="28.5" customHeight="1">
      <c r="A395" s="174">
        <v>29</v>
      </c>
      <c r="B395" s="281" t="s">
        <v>95</v>
      </c>
      <c r="C395" s="84">
        <v>4</v>
      </c>
      <c r="D395" s="278">
        <v>3866</v>
      </c>
      <c r="E395" s="294" t="s">
        <v>347</v>
      </c>
      <c r="F395" s="84">
        <f>(D395*C395+I395)*25%</f>
        <v>3911.15</v>
      </c>
      <c r="G395" s="84">
        <f>(D395*C395+I395)*5%</f>
        <v>782.23</v>
      </c>
      <c r="H395" s="84"/>
      <c r="I395" s="84">
        <f>1806*10%</f>
        <v>180.60000000000002</v>
      </c>
      <c r="J395" s="84"/>
      <c r="K395" s="84"/>
      <c r="L395" s="84"/>
      <c r="M395" s="84"/>
      <c r="N395" s="283"/>
      <c r="O395" s="234">
        <f t="shared" si="33"/>
        <v>20337.98</v>
      </c>
      <c r="P395" s="412"/>
      <c r="Q395" s="234">
        <f t="shared" si="27"/>
        <v>20337.98</v>
      </c>
      <c r="R395" s="234">
        <f t="shared" si="28"/>
        <v>244055.76</v>
      </c>
      <c r="W395" s="3" t="s">
        <v>268</v>
      </c>
    </row>
    <row r="396" spans="1:23" ht="28.5" customHeight="1">
      <c r="A396" s="174">
        <v>30</v>
      </c>
      <c r="B396" s="281" t="s">
        <v>96</v>
      </c>
      <c r="C396" s="84">
        <v>11.75</v>
      </c>
      <c r="D396" s="278">
        <v>3620</v>
      </c>
      <c r="E396" s="441" t="s">
        <v>376</v>
      </c>
      <c r="F396" s="84">
        <f>D396*C396*20%</f>
        <v>8507</v>
      </c>
      <c r="G396" s="84">
        <f>(D396*C396+I396)*5%</f>
        <v>2126.75</v>
      </c>
      <c r="H396" s="84"/>
      <c r="I396" s="84"/>
      <c r="J396" s="84"/>
      <c r="K396" s="84"/>
      <c r="L396" s="84"/>
      <c r="M396" s="84"/>
      <c r="N396" s="283"/>
      <c r="O396" s="234">
        <f t="shared" si="33"/>
        <v>53168.75</v>
      </c>
      <c r="P396" s="412"/>
      <c r="Q396" s="234">
        <f t="shared" si="27"/>
        <v>53168.75</v>
      </c>
      <c r="R396" s="234">
        <f t="shared" si="28"/>
        <v>638025</v>
      </c>
      <c r="W396" s="3">
        <f>D391+D392*C392+D393*C393+D394*C394+D395*C395+D396*C396+D397*C397+D398*C398+D399*C399+D400*C400+D401*C401+D402*C402+D403*C403+D404*C404+D405+D406*C406+D407+D408*C408+D409</f>
        <v>121575</v>
      </c>
    </row>
    <row r="397" spans="1:18" ht="13.5" customHeight="1">
      <c r="A397" s="174">
        <v>31</v>
      </c>
      <c r="B397" s="162" t="s">
        <v>145</v>
      </c>
      <c r="C397" s="276">
        <v>0.5</v>
      </c>
      <c r="D397" s="278">
        <v>3152</v>
      </c>
      <c r="E397" s="293">
        <v>11</v>
      </c>
      <c r="F397" s="84">
        <f>(D397*C397+I397)*10%</f>
        <v>157.60000000000002</v>
      </c>
      <c r="G397" s="84">
        <f>(D397*C397+I397)*5%</f>
        <v>78.80000000000001</v>
      </c>
      <c r="H397" s="84"/>
      <c r="I397" s="84"/>
      <c r="J397" s="84"/>
      <c r="K397" s="84"/>
      <c r="L397" s="84"/>
      <c r="M397" s="84"/>
      <c r="N397" s="283"/>
      <c r="O397" s="234">
        <f t="shared" si="33"/>
        <v>1812.3999999999999</v>
      </c>
      <c r="P397" s="412"/>
      <c r="Q397" s="234">
        <f t="shared" si="27"/>
        <v>1812.3999999999999</v>
      </c>
      <c r="R397" s="234">
        <f t="shared" si="28"/>
        <v>21748.8</v>
      </c>
    </row>
    <row r="398" spans="1:18" ht="13.5" customHeight="1">
      <c r="A398" s="174">
        <v>32</v>
      </c>
      <c r="B398" s="162" t="s">
        <v>220</v>
      </c>
      <c r="C398" s="276">
        <v>1</v>
      </c>
      <c r="D398" s="278">
        <v>3152</v>
      </c>
      <c r="E398" s="293">
        <v>11</v>
      </c>
      <c r="F398" s="84">
        <f>(D398*C398+I398)*20%</f>
        <v>630.4000000000001</v>
      </c>
      <c r="G398" s="84">
        <f>(D398*C398+I398)*5%</f>
        <v>157.60000000000002</v>
      </c>
      <c r="H398" s="84"/>
      <c r="I398" s="84"/>
      <c r="J398" s="84"/>
      <c r="K398" s="84"/>
      <c r="L398" s="84"/>
      <c r="M398" s="84"/>
      <c r="N398" s="283"/>
      <c r="O398" s="234">
        <f t="shared" si="33"/>
        <v>3940</v>
      </c>
      <c r="P398" s="412"/>
      <c r="Q398" s="234">
        <f t="shared" si="27"/>
        <v>3940</v>
      </c>
      <c r="R398" s="234">
        <f t="shared" si="28"/>
        <v>47280</v>
      </c>
    </row>
    <row r="399" spans="1:19" ht="30" customHeight="1">
      <c r="A399" s="174">
        <v>33</v>
      </c>
      <c r="B399" s="281" t="s">
        <v>328</v>
      </c>
      <c r="C399" s="84">
        <v>5.75</v>
      </c>
      <c r="D399" s="278">
        <v>2320</v>
      </c>
      <c r="E399" s="293">
        <v>6</v>
      </c>
      <c r="F399" s="84"/>
      <c r="G399" s="84"/>
      <c r="H399" s="84"/>
      <c r="I399" s="84"/>
      <c r="J399" s="84"/>
      <c r="K399" s="84"/>
      <c r="L399" s="84"/>
      <c r="M399" s="84"/>
      <c r="N399" s="283"/>
      <c r="O399" s="234">
        <f t="shared" si="33"/>
        <v>13340</v>
      </c>
      <c r="P399" s="412">
        <f t="shared" si="31"/>
        <v>5060</v>
      </c>
      <c r="Q399" s="234">
        <f t="shared" si="27"/>
        <v>18400</v>
      </c>
      <c r="R399" s="234">
        <f t="shared" si="28"/>
        <v>160080</v>
      </c>
      <c r="S399" s="3">
        <f>D373+D375+D376+D377+N377+D378+D379*C379+D380+D381*C381+D382*C382+D383+D384*C384+D385*C385+D386+D387+D388+D394+I394+D399*C399+D400*C400+D401*C401+D402+D403+D404*C404+D405+D406*C406+D407*C407+D408*C408+D409</f>
        <v>96582.4</v>
      </c>
    </row>
    <row r="400" spans="1:18" ht="31.5" customHeight="1">
      <c r="A400" s="174">
        <v>34</v>
      </c>
      <c r="B400" s="281" t="s">
        <v>218</v>
      </c>
      <c r="C400" s="84">
        <v>4</v>
      </c>
      <c r="D400" s="278">
        <v>2320</v>
      </c>
      <c r="E400" s="293">
        <v>6</v>
      </c>
      <c r="F400" s="84"/>
      <c r="G400" s="84"/>
      <c r="H400" s="84"/>
      <c r="I400" s="84"/>
      <c r="J400" s="84"/>
      <c r="K400" s="84"/>
      <c r="L400" s="84"/>
      <c r="M400" s="84"/>
      <c r="N400" s="283"/>
      <c r="O400" s="234">
        <f t="shared" si="33"/>
        <v>9280</v>
      </c>
      <c r="P400" s="412">
        <f t="shared" si="31"/>
        <v>3520</v>
      </c>
      <c r="Q400" s="234">
        <f t="shared" si="27"/>
        <v>12800</v>
      </c>
      <c r="R400" s="234">
        <f t="shared" si="28"/>
        <v>111360</v>
      </c>
    </row>
    <row r="401" spans="1:18" ht="15.75" customHeight="1">
      <c r="A401" s="174">
        <v>35</v>
      </c>
      <c r="B401" s="162" t="s">
        <v>25</v>
      </c>
      <c r="C401" s="276">
        <v>2</v>
      </c>
      <c r="D401" s="278">
        <v>2176</v>
      </c>
      <c r="E401" s="293">
        <v>5</v>
      </c>
      <c r="F401" s="84"/>
      <c r="G401" s="84"/>
      <c r="H401" s="84"/>
      <c r="I401" s="84"/>
      <c r="J401" s="84"/>
      <c r="K401" s="84">
        <f>D401*C401*12%</f>
        <v>522.24</v>
      </c>
      <c r="L401" s="84"/>
      <c r="M401" s="84"/>
      <c r="N401" s="283">
        <f>D401*C401*15%</f>
        <v>652.8</v>
      </c>
      <c r="O401" s="234">
        <f t="shared" si="33"/>
        <v>5527.04</v>
      </c>
      <c r="P401" s="412">
        <f t="shared" si="31"/>
        <v>1525.7600000000002</v>
      </c>
      <c r="Q401" s="234">
        <f t="shared" si="27"/>
        <v>7052.8</v>
      </c>
      <c r="R401" s="234">
        <f t="shared" si="28"/>
        <v>66324.48</v>
      </c>
    </row>
    <row r="402" spans="1:18" ht="15.75" customHeight="1">
      <c r="A402" s="174">
        <v>36</v>
      </c>
      <c r="B402" s="162" t="s">
        <v>151</v>
      </c>
      <c r="C402" s="276">
        <v>1</v>
      </c>
      <c r="D402" s="278">
        <v>1600</v>
      </c>
      <c r="E402" s="293">
        <v>1</v>
      </c>
      <c r="F402" s="84"/>
      <c r="G402" s="84"/>
      <c r="H402" s="84"/>
      <c r="I402" s="84"/>
      <c r="J402" s="84"/>
      <c r="K402" s="84">
        <f>D402*C402*12%</f>
        <v>192</v>
      </c>
      <c r="L402" s="84"/>
      <c r="M402" s="84"/>
      <c r="N402" s="283">
        <f>D402*C402*15%</f>
        <v>240</v>
      </c>
      <c r="O402" s="234">
        <f t="shared" si="33"/>
        <v>2032</v>
      </c>
      <c r="P402" s="412">
        <f t="shared" si="31"/>
        <v>1408</v>
      </c>
      <c r="Q402" s="234">
        <f t="shared" si="27"/>
        <v>3440</v>
      </c>
      <c r="R402" s="234">
        <f t="shared" si="28"/>
        <v>24384</v>
      </c>
    </row>
    <row r="403" spans="1:18" ht="41.25" customHeight="1">
      <c r="A403" s="174">
        <v>37</v>
      </c>
      <c r="B403" s="281" t="s">
        <v>336</v>
      </c>
      <c r="C403" s="84">
        <v>1</v>
      </c>
      <c r="D403" s="278">
        <v>2032</v>
      </c>
      <c r="E403" s="293">
        <v>4</v>
      </c>
      <c r="F403" s="84"/>
      <c r="G403" s="84"/>
      <c r="H403" s="84"/>
      <c r="I403" s="84"/>
      <c r="J403" s="84"/>
      <c r="K403" s="84"/>
      <c r="L403" s="84"/>
      <c r="M403" s="84"/>
      <c r="N403" s="283"/>
      <c r="O403" s="234">
        <f t="shared" si="33"/>
        <v>2032</v>
      </c>
      <c r="P403" s="412">
        <f t="shared" si="31"/>
        <v>1168</v>
      </c>
      <c r="Q403" s="234">
        <f t="shared" si="27"/>
        <v>3200</v>
      </c>
      <c r="R403" s="234">
        <f t="shared" si="28"/>
        <v>24384</v>
      </c>
    </row>
    <row r="404" spans="1:18" ht="45.75" customHeight="1">
      <c r="A404" s="174">
        <v>38</v>
      </c>
      <c r="B404" s="281" t="s">
        <v>219</v>
      </c>
      <c r="C404" s="276">
        <v>1.5</v>
      </c>
      <c r="D404" s="278">
        <v>1744</v>
      </c>
      <c r="E404" s="293">
        <v>2</v>
      </c>
      <c r="F404" s="84"/>
      <c r="G404" s="84"/>
      <c r="H404" s="84"/>
      <c r="I404" s="84"/>
      <c r="J404" s="84"/>
      <c r="K404" s="84">
        <f>D404*C404*12%</f>
        <v>313.92</v>
      </c>
      <c r="L404" s="84"/>
      <c r="M404" s="84"/>
      <c r="N404" s="283"/>
      <c r="O404" s="234">
        <f t="shared" si="33"/>
        <v>2929.92</v>
      </c>
      <c r="P404" s="412">
        <f t="shared" si="31"/>
        <v>1870.08</v>
      </c>
      <c r="Q404" s="234">
        <f t="shared" si="27"/>
        <v>4800</v>
      </c>
      <c r="R404" s="234">
        <f t="shared" si="28"/>
        <v>35159.04</v>
      </c>
    </row>
    <row r="405" spans="1:18" ht="18" customHeight="1">
      <c r="A405" s="174">
        <v>39</v>
      </c>
      <c r="B405" s="281" t="s">
        <v>30</v>
      </c>
      <c r="C405" s="276">
        <v>1</v>
      </c>
      <c r="D405" s="278">
        <v>1600</v>
      </c>
      <c r="E405" s="293">
        <v>1</v>
      </c>
      <c r="F405" s="84"/>
      <c r="G405" s="84"/>
      <c r="H405" s="84"/>
      <c r="I405" s="84"/>
      <c r="J405" s="84"/>
      <c r="K405" s="84"/>
      <c r="L405" s="84"/>
      <c r="M405" s="84"/>
      <c r="N405" s="283"/>
      <c r="O405" s="234">
        <f t="shared" si="33"/>
        <v>1600</v>
      </c>
      <c r="P405" s="412">
        <f t="shared" si="31"/>
        <v>1600</v>
      </c>
      <c r="Q405" s="234">
        <f t="shared" si="27"/>
        <v>3200</v>
      </c>
      <c r="R405" s="234">
        <f t="shared" si="28"/>
        <v>19200</v>
      </c>
    </row>
    <row r="406" spans="1:18" ht="12.75" customHeight="1">
      <c r="A406" s="174">
        <v>40</v>
      </c>
      <c r="B406" s="281" t="s">
        <v>27</v>
      </c>
      <c r="C406" s="84">
        <v>2.25</v>
      </c>
      <c r="D406" s="278">
        <v>1744</v>
      </c>
      <c r="E406" s="293">
        <v>2</v>
      </c>
      <c r="F406" s="84"/>
      <c r="G406" s="84"/>
      <c r="H406" s="84"/>
      <c r="I406" s="84"/>
      <c r="J406" s="84"/>
      <c r="K406" s="84"/>
      <c r="L406" s="84"/>
      <c r="M406" s="84">
        <f>C406*D406*40%</f>
        <v>1569.6000000000001</v>
      </c>
      <c r="N406" s="283"/>
      <c r="O406" s="234">
        <f t="shared" si="33"/>
        <v>5493.6</v>
      </c>
      <c r="P406" s="412">
        <f t="shared" si="31"/>
        <v>3276</v>
      </c>
      <c r="Q406" s="234">
        <f t="shared" si="27"/>
        <v>8769.6</v>
      </c>
      <c r="R406" s="234">
        <f t="shared" si="28"/>
        <v>65923.20000000001</v>
      </c>
    </row>
    <row r="407" spans="1:18" ht="31.5" customHeight="1">
      <c r="A407" s="174">
        <v>41</v>
      </c>
      <c r="B407" s="281" t="s">
        <v>193</v>
      </c>
      <c r="C407" s="276">
        <v>0.5</v>
      </c>
      <c r="D407" s="278">
        <v>1744</v>
      </c>
      <c r="E407" s="293">
        <v>2</v>
      </c>
      <c r="F407" s="84"/>
      <c r="G407" s="84"/>
      <c r="H407" s="84"/>
      <c r="I407" s="84"/>
      <c r="J407" s="84"/>
      <c r="K407" s="84"/>
      <c r="L407" s="84">
        <f>D407*10%</f>
        <v>174.4</v>
      </c>
      <c r="M407" s="84"/>
      <c r="N407" s="283"/>
      <c r="O407" s="234">
        <f t="shared" si="33"/>
        <v>1046.4</v>
      </c>
      <c r="P407" s="412">
        <f t="shared" si="31"/>
        <v>727.9999999999999</v>
      </c>
      <c r="Q407" s="234">
        <f t="shared" si="27"/>
        <v>1774.4</v>
      </c>
      <c r="R407" s="234">
        <f t="shared" si="28"/>
        <v>12556.800000000001</v>
      </c>
    </row>
    <row r="408" spans="1:24" ht="17.25" customHeight="1">
      <c r="A408" s="174">
        <v>42</v>
      </c>
      <c r="B408" s="162" t="s">
        <v>31</v>
      </c>
      <c r="C408" s="276">
        <v>0.5</v>
      </c>
      <c r="D408" s="278">
        <v>1744</v>
      </c>
      <c r="E408" s="293">
        <v>2</v>
      </c>
      <c r="F408" s="84"/>
      <c r="G408" s="84"/>
      <c r="H408" s="84"/>
      <c r="I408" s="84"/>
      <c r="J408" s="84"/>
      <c r="K408" s="84"/>
      <c r="L408" s="84"/>
      <c r="M408" s="84"/>
      <c r="N408" s="283"/>
      <c r="O408" s="234">
        <f>D408*C408+F408+G408+H408+I408+K408+L408+M408+N408</f>
        <v>872</v>
      </c>
      <c r="P408" s="412">
        <f t="shared" si="31"/>
        <v>728</v>
      </c>
      <c r="Q408" s="234">
        <f t="shared" si="27"/>
        <v>1600</v>
      </c>
      <c r="R408" s="234">
        <f t="shared" si="28"/>
        <v>10464</v>
      </c>
      <c r="T408" s="172" t="s">
        <v>287</v>
      </c>
      <c r="X408" s="3">
        <f>O366/C366*0.5+O380/C380*0.5+O381/C381*2.75+O385/C385*2+O387/C387+O392+O393+O394+O395+O396+O397+O398+O399+O400+O404</f>
        <v>139946.72333333336</v>
      </c>
    </row>
    <row r="409" spans="1:20" ht="15">
      <c r="A409" s="174">
        <v>43</v>
      </c>
      <c r="B409" s="281" t="s">
        <v>294</v>
      </c>
      <c r="C409" s="84">
        <v>1</v>
      </c>
      <c r="D409" s="278">
        <v>1744</v>
      </c>
      <c r="E409" s="293">
        <v>2</v>
      </c>
      <c r="F409" s="84"/>
      <c r="G409" s="84"/>
      <c r="H409" s="84"/>
      <c r="I409" s="84"/>
      <c r="J409" s="84"/>
      <c r="K409" s="84"/>
      <c r="L409" s="84"/>
      <c r="M409" s="84"/>
      <c r="N409" s="283"/>
      <c r="O409" s="234">
        <f>D409*C409+F409+G409+H409+I409+K409+L409+M409+N409</f>
        <v>1744</v>
      </c>
      <c r="P409" s="412">
        <f t="shared" si="31"/>
        <v>1456</v>
      </c>
      <c r="Q409" s="234">
        <f t="shared" si="27"/>
        <v>3200</v>
      </c>
      <c r="R409" s="234">
        <f t="shared" si="28"/>
        <v>20928</v>
      </c>
      <c r="T409" s="172">
        <v>7627.22</v>
      </c>
    </row>
    <row r="410" spans="1:23" ht="13.5" customHeight="1">
      <c r="A410" s="162"/>
      <c r="B410" s="162" t="s">
        <v>15</v>
      </c>
      <c r="C410" s="84">
        <f>SUM(C364:C409)</f>
        <v>80.25</v>
      </c>
      <c r="D410" s="314">
        <f>D364+D366*C366+D368+D369*C369+D370+D371+D372*C372+D373+D374+D375+D376+D377+D378+D379*C379+D380*C380+D381*C381+D382*C382+D385*C385+D386+D387+D388+D391+D392*C392+D393*C393+D394*C394+D395*C395+D396*C396+D397*C397+D398*C398+D399*C399+D400*C400+D401*C401+D402*C402+D403+D404*C404+D405+D406*C406+D407+D408*C408+D409</f>
        <v>213635</v>
      </c>
      <c r="E410" s="284"/>
      <c r="F410" s="84">
        <f aca="true" t="shared" si="34" ref="F410:R410">SUM(F364:F409)</f>
        <v>30100.15</v>
      </c>
      <c r="G410" s="84">
        <f t="shared" si="34"/>
        <v>6385.380000000001</v>
      </c>
      <c r="H410" s="84">
        <f t="shared" si="34"/>
        <v>508.79999999999995</v>
      </c>
      <c r="I410" s="84">
        <f t="shared" si="34"/>
        <v>2832.6</v>
      </c>
      <c r="J410" s="84">
        <f t="shared" si="34"/>
        <v>468</v>
      </c>
      <c r="K410" s="84">
        <f t="shared" si="34"/>
        <v>2003.52</v>
      </c>
      <c r="L410" s="84">
        <f t="shared" si="34"/>
        <v>1918.4</v>
      </c>
      <c r="M410" s="84">
        <f t="shared" si="34"/>
        <v>4300.8</v>
      </c>
      <c r="N410" s="84">
        <f t="shared" si="34"/>
        <v>2709.6000000000004</v>
      </c>
      <c r="O410" s="168">
        <f t="shared" si="34"/>
        <v>272054.25</v>
      </c>
      <c r="P410" s="168">
        <f>SUM(P364:P409)</f>
        <v>51136.48</v>
      </c>
      <c r="Q410" s="168">
        <f>SUM(Q364:Q409)</f>
        <v>323190.7299999999</v>
      </c>
      <c r="R410" s="168">
        <f t="shared" si="34"/>
        <v>3254187.0000000005</v>
      </c>
      <c r="W410" s="16">
        <f>SUM(O378:O387)+O374+O375+O399+O400+O404+O408</f>
        <v>80939.28</v>
      </c>
    </row>
    <row r="411" spans="1:18" ht="1.5" customHeight="1">
      <c r="A411" s="172"/>
      <c r="B411" s="172"/>
      <c r="C411" s="172"/>
      <c r="D411" s="172"/>
      <c r="E411" s="175"/>
      <c r="F411" s="172"/>
      <c r="G411" s="172"/>
      <c r="H411" s="172"/>
      <c r="I411" s="172"/>
      <c r="J411" s="172"/>
      <c r="K411" s="172"/>
      <c r="L411" s="172"/>
      <c r="M411" s="172"/>
      <c r="N411" s="172"/>
      <c r="O411" s="172"/>
      <c r="P411" s="172"/>
      <c r="Q411" s="172"/>
      <c r="R411" s="172"/>
    </row>
    <row r="412" spans="1:22" ht="37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18" ht="14.25" customHeight="1">
      <c r="A413" s="172"/>
      <c r="B413" s="172"/>
      <c r="C413" s="200" t="s">
        <v>371</v>
      </c>
      <c r="D413" s="200"/>
      <c r="E413" s="200"/>
      <c r="F413" s="200"/>
      <c r="G413" s="200"/>
      <c r="H413" s="200"/>
      <c r="I413" s="200"/>
      <c r="J413" s="200"/>
      <c r="K413" s="198" t="s">
        <v>372</v>
      </c>
      <c r="L413" s="198"/>
      <c r="M413" s="198"/>
      <c r="N413" s="198"/>
      <c r="O413" s="172"/>
      <c r="P413" s="172"/>
      <c r="Q413" s="172"/>
      <c r="R413" s="172"/>
    </row>
    <row r="414" spans="1:18" ht="18.75">
      <c r="A414" s="198"/>
      <c r="B414" s="232"/>
      <c r="C414" s="232"/>
      <c r="D414" s="232"/>
      <c r="E414" s="232"/>
      <c r="F414" s="232"/>
      <c r="G414" s="232"/>
      <c r="H414" s="232"/>
      <c r="I414" s="232"/>
      <c r="J414" s="232"/>
      <c r="K414" s="232"/>
      <c r="L414" s="232"/>
      <c r="M414" s="232"/>
      <c r="N414" s="198"/>
      <c r="O414" s="198"/>
      <c r="P414" s="198"/>
      <c r="Q414" s="198"/>
      <c r="R414" s="198"/>
    </row>
    <row r="415" spans="1:18" ht="6.75" customHeight="1">
      <c r="A415" s="469"/>
      <c r="B415" s="469"/>
      <c r="C415" s="469"/>
      <c r="D415" s="469"/>
      <c r="E415" s="469"/>
      <c r="F415" s="469"/>
      <c r="G415" s="469"/>
      <c r="H415" s="469"/>
      <c r="I415" s="469"/>
      <c r="J415" s="469"/>
      <c r="K415" s="469"/>
      <c r="L415" s="469"/>
      <c r="M415" s="469"/>
      <c r="N415" s="469"/>
      <c r="O415" s="469"/>
      <c r="P415" s="469"/>
      <c r="Q415" s="469"/>
      <c r="R415" s="469"/>
    </row>
    <row r="416" spans="1:18" ht="15">
      <c r="A416" s="172"/>
      <c r="B416" s="418" t="s">
        <v>368</v>
      </c>
      <c r="C416" s="172"/>
      <c r="D416" s="172"/>
      <c r="E416" s="172"/>
      <c r="F416" s="172"/>
      <c r="G416" s="172"/>
      <c r="H416" s="172"/>
      <c r="I416" s="172"/>
      <c r="J416" s="172"/>
      <c r="K416" s="172"/>
      <c r="L416" s="172"/>
      <c r="M416" s="172"/>
      <c r="N416" s="172"/>
      <c r="O416" s="172"/>
      <c r="P416" s="172"/>
      <c r="Q416" s="172"/>
      <c r="R416" s="172"/>
    </row>
    <row r="417" spans="2:5" ht="15">
      <c r="B417" s="194">
        <v>42041</v>
      </c>
      <c r="E417" s="3"/>
    </row>
    <row r="418" spans="1:18" ht="15.75" customHeight="1">
      <c r="A418" s="172"/>
      <c r="B418" s="290"/>
      <c r="C418" s="172"/>
      <c r="D418" s="172"/>
      <c r="E418" s="172"/>
      <c r="F418" s="172"/>
      <c r="G418" s="196"/>
      <c r="H418" s="172"/>
      <c r="I418" s="172"/>
      <c r="J418" s="172"/>
      <c r="K418" s="172"/>
      <c r="L418" s="172" t="s">
        <v>337</v>
      </c>
      <c r="M418" s="172"/>
      <c r="N418" s="172"/>
      <c r="O418" s="172"/>
      <c r="P418" s="172"/>
      <c r="Q418" s="172"/>
      <c r="R418" s="172"/>
    </row>
    <row r="419" spans="5:12" ht="15.75" customHeight="1">
      <c r="E419" s="3"/>
      <c r="K419" s="198" t="s">
        <v>363</v>
      </c>
      <c r="L419" s="198"/>
    </row>
    <row r="420" spans="11:18" ht="15">
      <c r="K420" s="172" t="s">
        <v>412</v>
      </c>
      <c r="L420" s="172"/>
      <c r="M420" s="172"/>
      <c r="N420" s="198"/>
      <c r="O420" s="198"/>
      <c r="P420" s="198"/>
      <c r="Q420" s="198"/>
      <c r="R420" s="198"/>
    </row>
    <row r="421" spans="2:18" ht="16.5">
      <c r="B421" s="459" t="s">
        <v>365</v>
      </c>
      <c r="C421" s="5"/>
      <c r="K421" s="172" t="s">
        <v>413</v>
      </c>
      <c r="L421" s="172"/>
      <c r="M421" s="172"/>
      <c r="N421" s="172"/>
      <c r="O421" s="172"/>
      <c r="P421" s="172"/>
      <c r="Q421" s="172"/>
      <c r="R421" s="172"/>
    </row>
    <row r="422" spans="2:10" ht="33" customHeight="1">
      <c r="B422" s="709" t="s">
        <v>355</v>
      </c>
      <c r="C422" s="709"/>
      <c r="D422" s="709"/>
      <c r="E422" s="709"/>
      <c r="F422" s="709"/>
      <c r="G422" s="709"/>
      <c r="H422" s="709"/>
      <c r="I422" s="709"/>
      <c r="J422" s="709"/>
    </row>
    <row r="423" spans="1:18" ht="15">
      <c r="A423" s="172"/>
      <c r="B423" s="172" t="s">
        <v>16</v>
      </c>
      <c r="C423" s="172"/>
      <c r="D423" s="172"/>
      <c r="E423" s="175"/>
      <c r="F423" s="172"/>
      <c r="G423" s="172"/>
      <c r="H423" s="172"/>
      <c r="I423" s="176"/>
      <c r="J423" s="176"/>
      <c r="K423" s="176"/>
      <c r="L423" s="176"/>
      <c r="M423" s="176"/>
      <c r="N423" s="176"/>
      <c r="O423" s="176"/>
      <c r="P423" s="176"/>
      <c r="Q423" s="176"/>
      <c r="R423" s="172"/>
    </row>
    <row r="424" spans="1:18" ht="15">
      <c r="A424" s="172"/>
      <c r="B424" s="172"/>
      <c r="C424" s="172"/>
      <c r="D424" s="172"/>
      <c r="E424" s="175"/>
      <c r="F424" s="172"/>
      <c r="G424" s="172"/>
      <c r="H424" s="172"/>
      <c r="I424" s="176"/>
      <c r="J424" s="176"/>
      <c r="K424" s="176"/>
      <c r="L424" s="176"/>
      <c r="M424" s="176"/>
      <c r="N424" s="176"/>
      <c r="O424" s="176"/>
      <c r="P424" s="176"/>
      <c r="Q424" s="176"/>
      <c r="R424" s="172"/>
    </row>
    <row r="425" spans="1:18" ht="15">
      <c r="A425" s="172"/>
      <c r="B425" s="172"/>
      <c r="C425" s="172"/>
      <c r="D425" s="172"/>
      <c r="E425" s="175"/>
      <c r="F425" s="172"/>
      <c r="G425" s="172"/>
      <c r="H425" s="172"/>
      <c r="I425" s="172"/>
      <c r="J425" s="172"/>
      <c r="K425" s="172"/>
      <c r="L425" s="172"/>
      <c r="M425" s="172"/>
      <c r="N425" s="172"/>
      <c r="O425" s="172"/>
      <c r="P425" s="172"/>
      <c r="Q425" s="172"/>
      <c r="R425" s="172"/>
    </row>
    <row r="426" spans="1:18" ht="7.5" customHeight="1">
      <c r="A426" s="172"/>
      <c r="B426" s="172"/>
      <c r="C426" s="172"/>
      <c r="D426" s="172"/>
      <c r="E426" s="175"/>
      <c r="F426" s="172"/>
      <c r="G426" s="172"/>
      <c r="H426" s="172"/>
      <c r="I426" s="172"/>
      <c r="J426" s="172"/>
      <c r="K426" s="172"/>
      <c r="L426" s="172"/>
      <c r="M426" s="172"/>
      <c r="N426" s="172"/>
      <c r="O426" s="172"/>
      <c r="P426" s="172"/>
      <c r="Q426" s="172"/>
      <c r="R426" s="172"/>
    </row>
    <row r="427" spans="1:18" ht="12.75" customHeight="1">
      <c r="A427" s="599" t="s">
        <v>1</v>
      </c>
      <c r="B427" s="236" t="s">
        <v>2</v>
      </c>
      <c r="C427" s="237" t="s">
        <v>4</v>
      </c>
      <c r="D427" s="504" t="s">
        <v>321</v>
      </c>
      <c r="E427" s="504" t="s">
        <v>322</v>
      </c>
      <c r="F427" s="562" t="s">
        <v>7</v>
      </c>
      <c r="G427" s="562"/>
      <c r="H427" s="562"/>
      <c r="I427" s="562"/>
      <c r="J427" s="238"/>
      <c r="K427" s="239"/>
      <c r="L427" s="239" t="s">
        <v>8</v>
      </c>
      <c r="M427" s="239"/>
      <c r="N427" s="239"/>
      <c r="O427" s="240" t="s">
        <v>10</v>
      </c>
      <c r="P427" s="493" t="s">
        <v>339</v>
      </c>
      <c r="Q427" s="473" t="s">
        <v>340</v>
      </c>
      <c r="R427" s="237" t="s">
        <v>13</v>
      </c>
    </row>
    <row r="428" spans="1:18" ht="12.75" customHeight="1">
      <c r="A428" s="702"/>
      <c r="B428" s="242" t="s">
        <v>3</v>
      </c>
      <c r="C428" s="242" t="s">
        <v>5</v>
      </c>
      <c r="D428" s="504"/>
      <c r="E428" s="504"/>
      <c r="F428" s="485" t="s">
        <v>18</v>
      </c>
      <c r="G428" s="482" t="s">
        <v>389</v>
      </c>
      <c r="H428" s="557" t="s">
        <v>241</v>
      </c>
      <c r="I428" s="557" t="s">
        <v>342</v>
      </c>
      <c r="J428" s="663" t="s">
        <v>253</v>
      </c>
      <c r="K428" s="498" t="s">
        <v>195</v>
      </c>
      <c r="L428" s="557" t="s">
        <v>113</v>
      </c>
      <c r="M428" s="557" t="s">
        <v>114</v>
      </c>
      <c r="N428" s="557" t="s">
        <v>231</v>
      </c>
      <c r="O428" s="176" t="s">
        <v>11</v>
      </c>
      <c r="P428" s="494"/>
      <c r="Q428" s="474"/>
      <c r="R428" s="243" t="s">
        <v>11</v>
      </c>
    </row>
    <row r="429" spans="1:18" ht="15">
      <c r="A429" s="702"/>
      <c r="B429" s="242"/>
      <c r="C429" s="242" t="s">
        <v>6</v>
      </c>
      <c r="D429" s="504"/>
      <c r="E429" s="504"/>
      <c r="F429" s="480"/>
      <c r="G429" s="523"/>
      <c r="H429" s="558"/>
      <c r="I429" s="558"/>
      <c r="J429" s="664"/>
      <c r="K429" s="499"/>
      <c r="L429" s="558"/>
      <c r="M429" s="558"/>
      <c r="N429" s="558"/>
      <c r="O429" s="245" t="s">
        <v>12</v>
      </c>
      <c r="P429" s="494"/>
      <c r="Q429" s="474"/>
      <c r="R429" s="243" t="s">
        <v>14</v>
      </c>
    </row>
    <row r="430" spans="1:18" ht="15">
      <c r="A430" s="241"/>
      <c r="B430" s="242"/>
      <c r="C430" s="242"/>
      <c r="D430" s="504"/>
      <c r="E430" s="504"/>
      <c r="F430" s="480"/>
      <c r="G430" s="523"/>
      <c r="H430" s="558"/>
      <c r="I430" s="558"/>
      <c r="J430" s="664"/>
      <c r="K430" s="499"/>
      <c r="L430" s="558"/>
      <c r="M430" s="558"/>
      <c r="N430" s="558"/>
      <c r="O430" s="245" t="s">
        <v>115</v>
      </c>
      <c r="P430" s="494"/>
      <c r="Q430" s="474"/>
      <c r="R430" s="243" t="s">
        <v>115</v>
      </c>
    </row>
    <row r="431" spans="1:18" ht="86.25" customHeight="1">
      <c r="A431" s="246"/>
      <c r="B431" s="247"/>
      <c r="C431" s="248"/>
      <c r="D431" s="504"/>
      <c r="E431" s="504"/>
      <c r="F431" s="481"/>
      <c r="G431" s="524"/>
      <c r="H431" s="559"/>
      <c r="I431" s="559"/>
      <c r="J431" s="665"/>
      <c r="K431" s="500"/>
      <c r="L431" s="559"/>
      <c r="M431" s="559"/>
      <c r="N431" s="559"/>
      <c r="O431" s="250"/>
      <c r="P431" s="495"/>
      <c r="Q431" s="475"/>
      <c r="R431" s="251"/>
    </row>
    <row r="432" spans="1:19" ht="15">
      <c r="A432" s="266">
        <v>1</v>
      </c>
      <c r="B432" s="320" t="s">
        <v>152</v>
      </c>
      <c r="C432" s="268">
        <v>1</v>
      </c>
      <c r="D432" s="278">
        <v>4800</v>
      </c>
      <c r="E432" s="298">
        <v>17</v>
      </c>
      <c r="F432" s="233">
        <f>(D432*C432+G432+K432)*20%</f>
        <v>1022.4000000000001</v>
      </c>
      <c r="G432" s="233">
        <f>(D432*C432+I432+J432)*5%</f>
        <v>312</v>
      </c>
      <c r="H432" s="233"/>
      <c r="I432" s="233">
        <f>D432*C432*25%</f>
        <v>1200</v>
      </c>
      <c r="J432" s="233">
        <f>D432*C432*5%</f>
        <v>240</v>
      </c>
      <c r="K432" s="233"/>
      <c r="L432" s="233"/>
      <c r="M432" s="233"/>
      <c r="N432" s="233"/>
      <c r="O432" s="234">
        <f>D432*C432+F432+G432+H432+I432+K432+L432+M432+N432+J432</f>
        <v>7574.4</v>
      </c>
      <c r="P432" s="234"/>
      <c r="Q432" s="234">
        <f>O432+P432</f>
        <v>7574.4</v>
      </c>
      <c r="R432" s="234">
        <f>O432*12</f>
        <v>90892.79999999999</v>
      </c>
      <c r="S432" s="3">
        <f>D432+I432+J432+D434*C434+I434+J434+D436*C436+D437+D438+D439*C439+I439+D441+D458*C458+I458+D459+D460+D461+I459+I460+I461+D444*C444</f>
        <v>67180</v>
      </c>
    </row>
    <row r="433" spans="1:19" ht="15" customHeight="1" hidden="1">
      <c r="A433" s="174" t="s">
        <v>129</v>
      </c>
      <c r="B433" s="281"/>
      <c r="C433" s="276"/>
      <c r="D433" s="234"/>
      <c r="E433" s="299"/>
      <c r="F433" s="274"/>
      <c r="G433" s="233">
        <f>(D433*C433+I433+J433)*20%</f>
        <v>0</v>
      </c>
      <c r="H433" s="233"/>
      <c r="I433" s="233">
        <f>D433*C433*25%</f>
        <v>0</v>
      </c>
      <c r="J433" s="233">
        <f>D433*C433*5%</f>
        <v>0</v>
      </c>
      <c r="K433" s="233"/>
      <c r="L433" s="84"/>
      <c r="M433" s="84"/>
      <c r="N433" s="84"/>
      <c r="O433" s="234">
        <f aca="true" t="shared" si="35" ref="O433:O461">D433*C433+F433+G433+H433+I433+K433+L433+M433+N433+J433</f>
        <v>0</v>
      </c>
      <c r="P433" s="234">
        <f aca="true" t="shared" si="36" ref="P433:P457">3200*C433-(O433-L433-M433-N433)</f>
        <v>0</v>
      </c>
      <c r="Q433" s="234">
        <f aca="true" t="shared" si="37" ref="Q433:Q461">O433+P433</f>
        <v>0</v>
      </c>
      <c r="R433" s="234">
        <f aca="true" t="shared" si="38" ref="R433:R440">O433*12</f>
        <v>0</v>
      </c>
      <c r="S433" s="69"/>
    </row>
    <row r="434" spans="1:18" ht="42" customHeight="1">
      <c r="A434" s="174">
        <v>2</v>
      </c>
      <c r="B434" s="281" t="s">
        <v>128</v>
      </c>
      <c r="C434" s="276">
        <v>2.5</v>
      </c>
      <c r="D434" s="226">
        <f>D432*95%</f>
        <v>4560</v>
      </c>
      <c r="E434" s="299" t="s">
        <v>325</v>
      </c>
      <c r="F434" s="233">
        <f>(D434*C434+G434+K434)*30%</f>
        <v>3642.2999999999997</v>
      </c>
      <c r="G434" s="233">
        <f>(D434*C434+I434+J434)*5%</f>
        <v>741</v>
      </c>
      <c r="H434" s="233"/>
      <c r="I434" s="233">
        <f>D434*C434*25%</f>
        <v>2850</v>
      </c>
      <c r="J434" s="233">
        <f>D434*C434*5%</f>
        <v>570</v>
      </c>
      <c r="K434" s="233"/>
      <c r="L434" s="84"/>
      <c r="M434" s="84"/>
      <c r="N434" s="84"/>
      <c r="O434" s="234">
        <f t="shared" si="35"/>
        <v>19203.3</v>
      </c>
      <c r="P434" s="234"/>
      <c r="Q434" s="234">
        <f t="shared" si="37"/>
        <v>19203.3</v>
      </c>
      <c r="R434" s="234">
        <f t="shared" si="38"/>
        <v>230439.59999999998</v>
      </c>
    </row>
    <row r="435" spans="1:18" ht="21.75" customHeight="1" hidden="1">
      <c r="A435" s="174"/>
      <c r="B435" s="281"/>
      <c r="C435" s="276"/>
      <c r="D435" s="226">
        <f>D433*95%</f>
        <v>0</v>
      </c>
      <c r="E435" s="315"/>
      <c r="F435" s="274"/>
      <c r="G435" s="233">
        <f>(D435*C435+I435+J435)*20%</f>
        <v>2549.0400000000004</v>
      </c>
      <c r="H435" s="233"/>
      <c r="I435" s="84"/>
      <c r="J435" s="233">
        <f>(D435*C435+G435)*20%</f>
        <v>0</v>
      </c>
      <c r="K435" s="84"/>
      <c r="L435" s="84"/>
      <c r="M435" s="84"/>
      <c r="N435" s="84"/>
      <c r="O435" s="234">
        <f t="shared" si="35"/>
        <v>0</v>
      </c>
      <c r="P435" s="234">
        <f t="shared" si="36"/>
        <v>0</v>
      </c>
      <c r="Q435" s="234">
        <f t="shared" si="37"/>
        <v>0</v>
      </c>
      <c r="R435" s="234">
        <f t="shared" si="38"/>
        <v>0</v>
      </c>
    </row>
    <row r="436" spans="1:19" ht="44.25" customHeight="1">
      <c r="A436" s="174">
        <v>3</v>
      </c>
      <c r="B436" s="281" t="s">
        <v>180</v>
      </c>
      <c r="C436" s="276">
        <v>0.5</v>
      </c>
      <c r="D436" s="226">
        <f>D432*95%</f>
        <v>4560</v>
      </c>
      <c r="E436" s="299" t="s">
        <v>325</v>
      </c>
      <c r="F436" s="233">
        <f>(D436*C436+G436)*30%</f>
        <v>718.1999999999999</v>
      </c>
      <c r="G436" s="233">
        <f>(D436*C436+I436+J436)*5%</f>
        <v>114</v>
      </c>
      <c r="H436" s="233"/>
      <c r="I436" s="84"/>
      <c r="J436" s="233"/>
      <c r="K436" s="84"/>
      <c r="L436" s="84"/>
      <c r="M436" s="84"/>
      <c r="N436" s="84"/>
      <c r="O436" s="234">
        <f>D436*C436+F436+G436+H436+I436+K436+L436+M436+N436+J436</f>
        <v>3112.2</v>
      </c>
      <c r="P436" s="234"/>
      <c r="Q436" s="234">
        <f t="shared" si="37"/>
        <v>3112.2</v>
      </c>
      <c r="R436" s="234">
        <f t="shared" si="38"/>
        <v>37346.399999999994</v>
      </c>
      <c r="S436" s="16"/>
    </row>
    <row r="437" spans="1:18" ht="24" customHeight="1">
      <c r="A437" s="174">
        <v>4</v>
      </c>
      <c r="B437" s="281" t="s">
        <v>34</v>
      </c>
      <c r="C437" s="276">
        <v>1</v>
      </c>
      <c r="D437" s="278">
        <v>3632</v>
      </c>
      <c r="E437" s="302">
        <v>13</v>
      </c>
      <c r="F437" s="233">
        <f>D437*C437*20%</f>
        <v>726.4000000000001</v>
      </c>
      <c r="G437" s="233">
        <f>(D437*C437+I437+J437)*5%</f>
        <v>181.60000000000002</v>
      </c>
      <c r="H437" s="233"/>
      <c r="I437" s="84"/>
      <c r="J437" s="256"/>
      <c r="K437" s="84"/>
      <c r="L437" s="84"/>
      <c r="M437" s="84"/>
      <c r="N437" s="84"/>
      <c r="O437" s="234">
        <f t="shared" si="35"/>
        <v>4540</v>
      </c>
      <c r="P437" s="234"/>
      <c r="Q437" s="234">
        <f t="shared" si="37"/>
        <v>4540</v>
      </c>
      <c r="R437" s="234">
        <f t="shared" si="38"/>
        <v>54480</v>
      </c>
    </row>
    <row r="438" spans="1:18" ht="19.5" customHeight="1">
      <c r="A438" s="174">
        <v>5</v>
      </c>
      <c r="B438" s="281" t="s">
        <v>21</v>
      </c>
      <c r="C438" s="276">
        <v>1</v>
      </c>
      <c r="D438" s="278">
        <v>3632</v>
      </c>
      <c r="E438" s="302">
        <v>13</v>
      </c>
      <c r="F438" s="233">
        <f>(D438+G438)*30%</f>
        <v>1144.08</v>
      </c>
      <c r="G438" s="233">
        <f>(D438*C438+I438+J438)*5%</f>
        <v>181.60000000000002</v>
      </c>
      <c r="H438" s="233"/>
      <c r="I438" s="84"/>
      <c r="J438" s="256"/>
      <c r="K438" s="84"/>
      <c r="L438" s="84"/>
      <c r="M438" s="84"/>
      <c r="N438" s="84"/>
      <c r="O438" s="234">
        <f t="shared" si="35"/>
        <v>4957.68</v>
      </c>
      <c r="P438" s="234"/>
      <c r="Q438" s="234">
        <f t="shared" si="37"/>
        <v>4957.68</v>
      </c>
      <c r="R438" s="234">
        <f t="shared" si="38"/>
        <v>59492.16</v>
      </c>
    </row>
    <row r="439" spans="1:18" ht="18" customHeight="1">
      <c r="A439" s="174">
        <v>6</v>
      </c>
      <c r="B439" s="281" t="s">
        <v>32</v>
      </c>
      <c r="C439" s="276">
        <v>2.5</v>
      </c>
      <c r="D439" s="278">
        <v>3152</v>
      </c>
      <c r="E439" s="302">
        <v>11</v>
      </c>
      <c r="F439" s="233">
        <v>1332.9</v>
      </c>
      <c r="G439" s="233">
        <f>(D439*C439+I439+J439)*5%</f>
        <v>433.40000000000003</v>
      </c>
      <c r="H439" s="233"/>
      <c r="I439" s="84">
        <f>D439*25%</f>
        <v>788</v>
      </c>
      <c r="J439" s="233"/>
      <c r="K439" s="84"/>
      <c r="L439" s="84"/>
      <c r="M439" s="84"/>
      <c r="N439" s="84"/>
      <c r="O439" s="234">
        <f t="shared" si="35"/>
        <v>10434.3</v>
      </c>
      <c r="P439" s="234"/>
      <c r="Q439" s="234">
        <f t="shared" si="37"/>
        <v>10434.3</v>
      </c>
      <c r="R439" s="234">
        <f t="shared" si="38"/>
        <v>125211.59999999999</v>
      </c>
    </row>
    <row r="440" spans="1:19" ht="15" customHeight="1">
      <c r="A440" s="174">
        <v>7</v>
      </c>
      <c r="B440" s="281" t="s">
        <v>205</v>
      </c>
      <c r="C440" s="276">
        <v>1</v>
      </c>
      <c r="D440" s="278">
        <v>3392</v>
      </c>
      <c r="E440" s="293">
        <v>12</v>
      </c>
      <c r="F440" s="233">
        <f>(D440)*30%</f>
        <v>1017.5999999999999</v>
      </c>
      <c r="G440" s="233"/>
      <c r="H440" s="233">
        <f>D440*15%</f>
        <v>508.79999999999995</v>
      </c>
      <c r="I440" s="84"/>
      <c r="J440" s="84"/>
      <c r="K440" s="84"/>
      <c r="L440" s="84"/>
      <c r="M440" s="84"/>
      <c r="N440" s="84"/>
      <c r="O440" s="234">
        <f t="shared" si="35"/>
        <v>4918.400000000001</v>
      </c>
      <c r="P440" s="234"/>
      <c r="Q440" s="234">
        <f t="shared" si="37"/>
        <v>4918.400000000001</v>
      </c>
      <c r="R440" s="234">
        <f t="shared" si="38"/>
        <v>59020.8</v>
      </c>
      <c r="S440" s="3">
        <f>D440+H440+D443+N443+D445+D446+D447*C447+D448*C448+D449+D450*C450+D451*C451+D453*C453+N453+D454+N454+D455+D456+D457*C457</f>
        <v>57599.2</v>
      </c>
    </row>
    <row r="441" spans="1:18" ht="18.75" customHeight="1">
      <c r="A441" s="199">
        <v>8</v>
      </c>
      <c r="B441" s="321" t="s">
        <v>159</v>
      </c>
      <c r="C441" s="259">
        <v>1</v>
      </c>
      <c r="D441" s="300">
        <v>3632</v>
      </c>
      <c r="E441" s="322">
        <v>13</v>
      </c>
      <c r="F441" s="233">
        <f>(D441)*30%</f>
        <v>1089.6</v>
      </c>
      <c r="G441" s="233">
        <f>(D441*C441+I441+J441)*5%</f>
        <v>181.60000000000002</v>
      </c>
      <c r="H441" s="265"/>
      <c r="I441" s="265"/>
      <c r="J441" s="265"/>
      <c r="K441" s="265"/>
      <c r="L441" s="265"/>
      <c r="M441" s="265"/>
      <c r="N441" s="265"/>
      <c r="O441" s="234">
        <f t="shared" si="35"/>
        <v>4903.200000000001</v>
      </c>
      <c r="P441" s="412"/>
      <c r="Q441" s="234">
        <f t="shared" si="37"/>
        <v>4903.200000000001</v>
      </c>
      <c r="R441" s="84">
        <f>O441*3+O441*6+O441*1.038+O441*1.038*1.1+O441*1.038*1.1*1.11</f>
        <v>61031.101233600006</v>
      </c>
    </row>
    <row r="442" spans="1:18" ht="47.25" customHeight="1">
      <c r="A442" s="174">
        <v>9</v>
      </c>
      <c r="B442" s="281" t="s">
        <v>408</v>
      </c>
      <c r="C442" s="276">
        <v>0.5</v>
      </c>
      <c r="D442" s="278">
        <v>3872</v>
      </c>
      <c r="E442" s="293">
        <v>14</v>
      </c>
      <c r="F442" s="233">
        <f>(D442)*20%</f>
        <v>774.4000000000001</v>
      </c>
      <c r="G442" s="233">
        <f>(D442*C442+I442+J442)*5%</f>
        <v>121</v>
      </c>
      <c r="H442" s="265"/>
      <c r="I442" s="265">
        <f>D442*C442*25%</f>
        <v>484</v>
      </c>
      <c r="J442" s="265"/>
      <c r="K442" s="265"/>
      <c r="L442" s="265"/>
      <c r="M442" s="265"/>
      <c r="N442" s="265"/>
      <c r="O442" s="234">
        <f t="shared" si="35"/>
        <v>3315.4</v>
      </c>
      <c r="P442" s="412"/>
      <c r="Q442" s="234">
        <f t="shared" si="37"/>
        <v>3315.4</v>
      </c>
      <c r="R442" s="84">
        <f>O442*3+O442*6+O442*1.038+O442*1.038*1.1+O442*1.038*1.1*1.11</f>
        <v>41267.4402492</v>
      </c>
    </row>
    <row r="443" spans="1:18" ht="24" customHeight="1">
      <c r="A443" s="199">
        <v>10</v>
      </c>
      <c r="B443" s="321" t="s">
        <v>221</v>
      </c>
      <c r="C443" s="259">
        <v>1</v>
      </c>
      <c r="D443" s="300">
        <v>2320</v>
      </c>
      <c r="E443" s="322">
        <v>6</v>
      </c>
      <c r="F443" s="233">
        <f>D443*10%</f>
        <v>232</v>
      </c>
      <c r="G443" s="265"/>
      <c r="H443" s="265"/>
      <c r="I443" s="265"/>
      <c r="J443" s="265"/>
      <c r="K443" s="265"/>
      <c r="L443" s="265"/>
      <c r="M443" s="265"/>
      <c r="N443" s="265">
        <f>D443*7%</f>
        <v>162.4</v>
      </c>
      <c r="O443" s="234">
        <f t="shared" si="35"/>
        <v>2714.4</v>
      </c>
      <c r="P443" s="412">
        <f t="shared" si="36"/>
        <v>648</v>
      </c>
      <c r="Q443" s="234">
        <f t="shared" si="37"/>
        <v>3362.4</v>
      </c>
      <c r="R443" s="84">
        <f>O443*3+O443*6+O443*1.038+O443*1.038*1.1+O443*1.038*1.1*1.11</f>
        <v>33786.674251200006</v>
      </c>
    </row>
    <row r="444" spans="1:109" s="31" customFormat="1" ht="30.75" customHeight="1">
      <c r="A444" s="316">
        <v>11</v>
      </c>
      <c r="B444" s="281" t="s">
        <v>386</v>
      </c>
      <c r="C444" s="276">
        <v>0.5</v>
      </c>
      <c r="D444" s="278">
        <v>3152</v>
      </c>
      <c r="E444" s="293">
        <v>11</v>
      </c>
      <c r="F444" s="256">
        <f>D444*C444*20%</f>
        <v>315.20000000000005</v>
      </c>
      <c r="G444" s="256">
        <f>D444*C444*5%</f>
        <v>78.80000000000001</v>
      </c>
      <c r="H444" s="256"/>
      <c r="I444" s="256"/>
      <c r="J444" s="256"/>
      <c r="K444" s="256"/>
      <c r="L444" s="256"/>
      <c r="M444" s="256"/>
      <c r="N444" s="256"/>
      <c r="O444" s="234">
        <f t="shared" si="35"/>
        <v>1970</v>
      </c>
      <c r="P444" s="412"/>
      <c r="Q444" s="234">
        <f t="shared" si="37"/>
        <v>1970</v>
      </c>
      <c r="R444" s="256">
        <f>O444*12</f>
        <v>23640</v>
      </c>
      <c r="X444" s="44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</row>
    <row r="445" spans="1:18" ht="33" customHeight="1">
      <c r="A445" s="316">
        <v>12</v>
      </c>
      <c r="B445" s="309" t="s">
        <v>203</v>
      </c>
      <c r="C445" s="317">
        <v>1</v>
      </c>
      <c r="D445" s="318">
        <v>2624</v>
      </c>
      <c r="E445" s="322">
        <v>8</v>
      </c>
      <c r="F445" s="256"/>
      <c r="G445" s="256"/>
      <c r="H445" s="256"/>
      <c r="I445" s="256"/>
      <c r="J445" s="256"/>
      <c r="K445" s="256"/>
      <c r="L445" s="256"/>
      <c r="M445" s="256"/>
      <c r="N445" s="256"/>
      <c r="O445" s="234">
        <f t="shared" si="35"/>
        <v>2624</v>
      </c>
      <c r="P445" s="412">
        <f t="shared" si="36"/>
        <v>576</v>
      </c>
      <c r="Q445" s="234">
        <f t="shared" si="37"/>
        <v>3200</v>
      </c>
      <c r="R445" s="256">
        <f>O445*12</f>
        <v>31488</v>
      </c>
    </row>
    <row r="446" spans="1:19" ht="21.75" customHeight="1">
      <c r="A446" s="174">
        <v>13</v>
      </c>
      <c r="B446" s="281" t="s">
        <v>23</v>
      </c>
      <c r="C446" s="276">
        <v>1</v>
      </c>
      <c r="D446" s="278">
        <v>2176</v>
      </c>
      <c r="E446" s="302">
        <v>5</v>
      </c>
      <c r="F446" s="84"/>
      <c r="G446" s="84"/>
      <c r="H446" s="84"/>
      <c r="I446" s="84"/>
      <c r="J446" s="84"/>
      <c r="K446" s="84"/>
      <c r="L446" s="84"/>
      <c r="M446" s="84"/>
      <c r="N446" s="84"/>
      <c r="O446" s="234">
        <f t="shared" si="35"/>
        <v>2176</v>
      </c>
      <c r="P446" s="412">
        <f t="shared" si="36"/>
        <v>1024</v>
      </c>
      <c r="Q446" s="234">
        <f t="shared" si="37"/>
        <v>3200</v>
      </c>
      <c r="R446" s="234">
        <f>O446*12</f>
        <v>26112</v>
      </c>
      <c r="S446" s="16"/>
    </row>
    <row r="447" spans="1:18" ht="21.75" customHeight="1">
      <c r="A447" s="174">
        <v>14</v>
      </c>
      <c r="B447" s="281" t="s">
        <v>24</v>
      </c>
      <c r="C447" s="84">
        <v>0.75</v>
      </c>
      <c r="D447" s="278">
        <v>2032</v>
      </c>
      <c r="E447" s="302">
        <v>4</v>
      </c>
      <c r="F447" s="319"/>
      <c r="G447" s="84"/>
      <c r="H447" s="84"/>
      <c r="I447" s="84"/>
      <c r="J447" s="84"/>
      <c r="K447" s="84"/>
      <c r="L447" s="84"/>
      <c r="M447" s="84"/>
      <c r="N447" s="84"/>
      <c r="O447" s="234">
        <f t="shared" si="35"/>
        <v>1524</v>
      </c>
      <c r="P447" s="412">
        <f t="shared" si="36"/>
        <v>876</v>
      </c>
      <c r="Q447" s="234">
        <f t="shared" si="37"/>
        <v>2400</v>
      </c>
      <c r="R447" s="234">
        <f aca="true" t="shared" si="39" ref="R447:R456">O447*12</f>
        <v>18288</v>
      </c>
    </row>
    <row r="448" spans="1:24" ht="50.25" customHeight="1">
      <c r="A448" s="174">
        <v>15</v>
      </c>
      <c r="B448" s="281" t="s">
        <v>182</v>
      </c>
      <c r="C448" s="276">
        <v>1.5</v>
      </c>
      <c r="D448" s="278">
        <v>2032</v>
      </c>
      <c r="E448" s="302">
        <v>4</v>
      </c>
      <c r="F448" s="84"/>
      <c r="G448" s="84"/>
      <c r="H448" s="84"/>
      <c r="I448" s="84"/>
      <c r="J448" s="84"/>
      <c r="K448" s="84"/>
      <c r="L448" s="84"/>
      <c r="M448" s="84"/>
      <c r="N448" s="84"/>
      <c r="O448" s="234">
        <f t="shared" si="35"/>
        <v>3048</v>
      </c>
      <c r="P448" s="412">
        <f t="shared" si="36"/>
        <v>1752</v>
      </c>
      <c r="Q448" s="234">
        <f t="shared" si="37"/>
        <v>4800</v>
      </c>
      <c r="R448" s="234">
        <f t="shared" si="39"/>
        <v>36576</v>
      </c>
      <c r="X448" s="3">
        <f>D443+D444+D445+D446+D447+D448*C448+D449+D450*C450+D451*C451+D453*C453+D454*C454+D455+D456+D457*C457</f>
        <v>55448</v>
      </c>
    </row>
    <row r="449" spans="1:18" ht="23.25" customHeight="1">
      <c r="A449" s="174">
        <v>16</v>
      </c>
      <c r="B449" s="281" t="s">
        <v>26</v>
      </c>
      <c r="C449" s="276">
        <v>1</v>
      </c>
      <c r="D449" s="278">
        <v>1600</v>
      </c>
      <c r="E449" s="302">
        <v>1</v>
      </c>
      <c r="F449" s="84"/>
      <c r="G449" s="84"/>
      <c r="H449" s="84"/>
      <c r="I449" s="84"/>
      <c r="J449" s="84"/>
      <c r="K449" s="84"/>
      <c r="L449" s="84"/>
      <c r="M449" s="84"/>
      <c r="N449" s="84"/>
      <c r="O449" s="234">
        <f t="shared" si="35"/>
        <v>1600</v>
      </c>
      <c r="P449" s="412">
        <f t="shared" si="36"/>
        <v>1600</v>
      </c>
      <c r="Q449" s="234">
        <f t="shared" si="37"/>
        <v>3200</v>
      </c>
      <c r="R449" s="234">
        <f>O449*12</f>
        <v>19200</v>
      </c>
    </row>
    <row r="450" spans="1:18" ht="18" customHeight="1">
      <c r="A450" s="174">
        <v>17</v>
      </c>
      <c r="B450" s="281" t="s">
        <v>27</v>
      </c>
      <c r="C450" s="84">
        <v>2.75</v>
      </c>
      <c r="D450" s="278">
        <v>1744</v>
      </c>
      <c r="E450" s="302">
        <v>2</v>
      </c>
      <c r="F450" s="84"/>
      <c r="G450" s="84"/>
      <c r="H450" s="84"/>
      <c r="I450" s="84"/>
      <c r="J450" s="84"/>
      <c r="K450" s="84"/>
      <c r="L450" s="84"/>
      <c r="M450" s="84">
        <f>D450*40%*C450</f>
        <v>1918.4</v>
      </c>
      <c r="N450" s="84"/>
      <c r="O450" s="234">
        <f t="shared" si="35"/>
        <v>6714.4</v>
      </c>
      <c r="P450" s="412">
        <f t="shared" si="36"/>
        <v>4004</v>
      </c>
      <c r="Q450" s="234">
        <f t="shared" si="37"/>
        <v>10718.4</v>
      </c>
      <c r="R450" s="234">
        <f t="shared" si="39"/>
        <v>80572.79999999999</v>
      </c>
    </row>
    <row r="451" spans="1:18" ht="35.25" customHeight="1">
      <c r="A451" s="174">
        <v>18</v>
      </c>
      <c r="B451" s="281" t="s">
        <v>193</v>
      </c>
      <c r="C451" s="84">
        <v>12.25</v>
      </c>
      <c r="D451" s="278">
        <v>1744</v>
      </c>
      <c r="E451" s="302">
        <v>2</v>
      </c>
      <c r="F451" s="84"/>
      <c r="G451" s="84"/>
      <c r="H451" s="84"/>
      <c r="I451" s="84"/>
      <c r="J451" s="84"/>
      <c r="K451" s="84"/>
      <c r="L451" s="84">
        <f>D451*C451*10%</f>
        <v>2136.4</v>
      </c>
      <c r="M451" s="84"/>
      <c r="N451" s="84"/>
      <c r="O451" s="234">
        <f t="shared" si="35"/>
        <v>23500.4</v>
      </c>
      <c r="P451" s="412">
        <f t="shared" si="36"/>
        <v>17836</v>
      </c>
      <c r="Q451" s="234">
        <f t="shared" si="37"/>
        <v>41336.4</v>
      </c>
      <c r="R451" s="234">
        <f t="shared" si="39"/>
        <v>282004.80000000005</v>
      </c>
    </row>
    <row r="452" spans="1:18" ht="18" customHeight="1" hidden="1">
      <c r="A452" s="174"/>
      <c r="B452" s="281"/>
      <c r="C452" s="276"/>
      <c r="D452" s="278"/>
      <c r="E452" s="302"/>
      <c r="F452" s="84"/>
      <c r="G452" s="84"/>
      <c r="H452" s="84"/>
      <c r="I452" s="84"/>
      <c r="J452" s="84"/>
      <c r="K452" s="84"/>
      <c r="L452" s="84"/>
      <c r="M452" s="84"/>
      <c r="N452" s="84"/>
      <c r="O452" s="234">
        <f t="shared" si="35"/>
        <v>0</v>
      </c>
      <c r="P452" s="412">
        <f t="shared" si="36"/>
        <v>0</v>
      </c>
      <c r="Q452" s="234">
        <f t="shared" si="37"/>
        <v>0</v>
      </c>
      <c r="R452" s="234">
        <f t="shared" si="39"/>
        <v>0</v>
      </c>
    </row>
    <row r="453" spans="1:18" ht="24" customHeight="1">
      <c r="A453" s="174">
        <v>19</v>
      </c>
      <c r="B453" s="281" t="s">
        <v>25</v>
      </c>
      <c r="C453" s="276">
        <v>3</v>
      </c>
      <c r="D453" s="278">
        <v>2320</v>
      </c>
      <c r="E453" s="302">
        <v>6</v>
      </c>
      <c r="F453" s="84"/>
      <c r="G453" s="84"/>
      <c r="H453" s="84"/>
      <c r="I453" s="84"/>
      <c r="J453" s="84"/>
      <c r="K453" s="84">
        <f>D453*C453*12%</f>
        <v>835.1999999999999</v>
      </c>
      <c r="L453" s="84"/>
      <c r="M453" s="84"/>
      <c r="N453" s="283">
        <f>D453*20%+D453*C453*15%</f>
        <v>1508</v>
      </c>
      <c r="O453" s="234">
        <f t="shared" si="35"/>
        <v>9303.2</v>
      </c>
      <c r="P453" s="412">
        <f t="shared" si="36"/>
        <v>1804.7999999999993</v>
      </c>
      <c r="Q453" s="234">
        <f t="shared" si="37"/>
        <v>11108</v>
      </c>
      <c r="R453" s="234">
        <f t="shared" si="39"/>
        <v>111638.40000000001</v>
      </c>
    </row>
    <row r="454" spans="1:18" ht="26.25" customHeight="1">
      <c r="A454" s="174">
        <v>20</v>
      </c>
      <c r="B454" s="281" t="s">
        <v>151</v>
      </c>
      <c r="C454" s="276">
        <v>1</v>
      </c>
      <c r="D454" s="278">
        <v>1600</v>
      </c>
      <c r="E454" s="302">
        <v>1</v>
      </c>
      <c r="F454" s="84"/>
      <c r="G454" s="84"/>
      <c r="H454" s="84"/>
      <c r="I454" s="84"/>
      <c r="J454" s="84"/>
      <c r="K454" s="84">
        <f>D454*C454*12%</f>
        <v>192</v>
      </c>
      <c r="L454" s="84"/>
      <c r="M454" s="84"/>
      <c r="N454" s="283">
        <f>D454*C454*15%</f>
        <v>240</v>
      </c>
      <c r="O454" s="234">
        <f t="shared" si="35"/>
        <v>2032</v>
      </c>
      <c r="P454" s="412">
        <f t="shared" si="36"/>
        <v>1408</v>
      </c>
      <c r="Q454" s="234">
        <f t="shared" si="37"/>
        <v>3440</v>
      </c>
      <c r="R454" s="234">
        <f t="shared" si="39"/>
        <v>24384</v>
      </c>
    </row>
    <row r="455" spans="1:18" ht="26.25" customHeight="1">
      <c r="A455" s="174">
        <v>21</v>
      </c>
      <c r="B455" s="281" t="s">
        <v>31</v>
      </c>
      <c r="C455" s="276">
        <v>1</v>
      </c>
      <c r="D455" s="278">
        <v>1744</v>
      </c>
      <c r="E455" s="302">
        <v>2</v>
      </c>
      <c r="F455" s="84"/>
      <c r="G455" s="84"/>
      <c r="H455" s="84"/>
      <c r="I455" s="84"/>
      <c r="J455" s="84"/>
      <c r="K455" s="84"/>
      <c r="L455" s="84"/>
      <c r="M455" s="84"/>
      <c r="N455" s="84"/>
      <c r="O455" s="234">
        <f t="shared" si="35"/>
        <v>1744</v>
      </c>
      <c r="P455" s="412">
        <f t="shared" si="36"/>
        <v>1456</v>
      </c>
      <c r="Q455" s="234">
        <f t="shared" si="37"/>
        <v>3200</v>
      </c>
      <c r="R455" s="234">
        <f t="shared" si="39"/>
        <v>20928</v>
      </c>
    </row>
    <row r="456" spans="1:18" ht="26.25" customHeight="1">
      <c r="A456" s="174">
        <v>22</v>
      </c>
      <c r="B456" s="281" t="s">
        <v>106</v>
      </c>
      <c r="C456" s="276">
        <v>1</v>
      </c>
      <c r="D456" s="278">
        <v>2032</v>
      </c>
      <c r="E456" s="302">
        <v>4</v>
      </c>
      <c r="F456" s="84"/>
      <c r="G456" s="84"/>
      <c r="H456" s="84"/>
      <c r="I456" s="84"/>
      <c r="J456" s="84"/>
      <c r="K456" s="84"/>
      <c r="L456" s="84"/>
      <c r="M456" s="84">
        <f>D456*40%</f>
        <v>812.8000000000001</v>
      </c>
      <c r="N456" s="84"/>
      <c r="O456" s="234">
        <f t="shared" si="35"/>
        <v>2844.8</v>
      </c>
      <c r="P456" s="412">
        <f t="shared" si="36"/>
        <v>1168</v>
      </c>
      <c r="Q456" s="234">
        <f t="shared" si="37"/>
        <v>4012.8</v>
      </c>
      <c r="R456" s="234">
        <f t="shared" si="39"/>
        <v>34137.600000000006</v>
      </c>
    </row>
    <row r="457" spans="1:18" ht="15" hidden="1">
      <c r="A457" s="174">
        <v>22</v>
      </c>
      <c r="B457" s="281"/>
      <c r="C457" s="276"/>
      <c r="D457" s="278"/>
      <c r="E457" s="302"/>
      <c r="F457" s="84"/>
      <c r="G457" s="84"/>
      <c r="H457" s="84"/>
      <c r="I457" s="84"/>
      <c r="J457" s="84"/>
      <c r="K457" s="84"/>
      <c r="L457" s="84"/>
      <c r="M457" s="84">
        <f>D457*33%*C457</f>
        <v>0</v>
      </c>
      <c r="N457" s="84"/>
      <c r="O457" s="234">
        <f t="shared" si="35"/>
        <v>0</v>
      </c>
      <c r="P457" s="412">
        <f t="shared" si="36"/>
        <v>0</v>
      </c>
      <c r="Q457" s="234">
        <f t="shared" si="37"/>
        <v>0</v>
      </c>
      <c r="R457" s="234">
        <f aca="true" t="shared" si="40" ref="R457:R462">O457*6</f>
        <v>0</v>
      </c>
    </row>
    <row r="458" spans="1:18" ht="28.5">
      <c r="A458" s="174">
        <v>23</v>
      </c>
      <c r="B458" s="281" t="s">
        <v>177</v>
      </c>
      <c r="C458" s="276">
        <v>2</v>
      </c>
      <c r="D458" s="278">
        <v>3872</v>
      </c>
      <c r="E458" s="302">
        <v>14</v>
      </c>
      <c r="F458" s="84">
        <f>(D458*C458+G458)*30%</f>
        <v>2468.4</v>
      </c>
      <c r="G458" s="84">
        <f>(D458*C458+I458)*5%</f>
        <v>484</v>
      </c>
      <c r="H458" s="84"/>
      <c r="I458" s="84">
        <f>D458*C458*25%</f>
        <v>1936</v>
      </c>
      <c r="J458" s="84"/>
      <c r="K458" s="84"/>
      <c r="L458" s="84"/>
      <c r="M458" s="84"/>
      <c r="N458" s="84"/>
      <c r="O458" s="234">
        <f t="shared" si="35"/>
        <v>12632.4</v>
      </c>
      <c r="P458" s="412"/>
      <c r="Q458" s="234">
        <f t="shared" si="37"/>
        <v>12632.4</v>
      </c>
      <c r="R458" s="234">
        <f t="shared" si="40"/>
        <v>75794.4</v>
      </c>
    </row>
    <row r="459" spans="1:18" ht="22.5" customHeight="1">
      <c r="A459" s="174">
        <v>24</v>
      </c>
      <c r="B459" s="281" t="s">
        <v>178</v>
      </c>
      <c r="C459" s="276">
        <v>1</v>
      </c>
      <c r="D459" s="278">
        <v>3872</v>
      </c>
      <c r="E459" s="302">
        <v>14</v>
      </c>
      <c r="F459" s="84">
        <f>(D459*C459+H459+G459)*20%</f>
        <v>822.8000000000001</v>
      </c>
      <c r="G459" s="84">
        <f>(D459*C459+I459)*5%</f>
        <v>242</v>
      </c>
      <c r="H459" s="84"/>
      <c r="I459" s="84">
        <f>D459*C459*25%</f>
        <v>968</v>
      </c>
      <c r="J459" s="84"/>
      <c r="K459" s="84"/>
      <c r="L459" s="84"/>
      <c r="M459" s="84"/>
      <c r="N459" s="84"/>
      <c r="O459" s="234">
        <f t="shared" si="35"/>
        <v>5904.8</v>
      </c>
      <c r="P459" s="234"/>
      <c r="Q459" s="234">
        <f t="shared" si="37"/>
        <v>5904.8</v>
      </c>
      <c r="R459" s="234">
        <f t="shared" si="40"/>
        <v>35428.8</v>
      </c>
    </row>
    <row r="460" spans="1:18" ht="26.25" customHeight="1">
      <c r="A460" s="174">
        <v>25</v>
      </c>
      <c r="B460" s="281" t="s">
        <v>178</v>
      </c>
      <c r="C460" s="276">
        <v>1</v>
      </c>
      <c r="D460" s="278">
        <v>3392</v>
      </c>
      <c r="E460" s="302">
        <v>12</v>
      </c>
      <c r="F460" s="84">
        <f>(D460*C460+H460+G460)*10%</f>
        <v>360.40000000000003</v>
      </c>
      <c r="G460" s="84">
        <f>(D460*C460+I460)*5%</f>
        <v>212</v>
      </c>
      <c r="H460" s="84"/>
      <c r="I460" s="84">
        <f>D460*C460*25%</f>
        <v>848</v>
      </c>
      <c r="J460" s="84"/>
      <c r="K460" s="84"/>
      <c r="L460" s="84"/>
      <c r="M460" s="84"/>
      <c r="N460" s="84"/>
      <c r="O460" s="234">
        <f t="shared" si="35"/>
        <v>4812.4</v>
      </c>
      <c r="P460" s="234"/>
      <c r="Q460" s="234">
        <f t="shared" si="37"/>
        <v>4812.4</v>
      </c>
      <c r="R460" s="234">
        <f t="shared" si="40"/>
        <v>28874.399999999998</v>
      </c>
    </row>
    <row r="461" spans="1:20" ht="15">
      <c r="A461" s="174">
        <v>26</v>
      </c>
      <c r="B461" s="281" t="s">
        <v>178</v>
      </c>
      <c r="C461" s="276">
        <v>1</v>
      </c>
      <c r="D461" s="278">
        <v>3152</v>
      </c>
      <c r="E461" s="302">
        <v>11</v>
      </c>
      <c r="F461" s="84">
        <f>(D461*C461+H461+G461)*20%</f>
        <v>669.8000000000001</v>
      </c>
      <c r="G461" s="84">
        <f>(D461*C461+I461)*5%</f>
        <v>197</v>
      </c>
      <c r="H461" s="84"/>
      <c r="I461" s="84">
        <f>D461*C461*25%</f>
        <v>788</v>
      </c>
      <c r="J461" s="84"/>
      <c r="K461" s="84"/>
      <c r="L461" s="84"/>
      <c r="M461" s="84"/>
      <c r="N461" s="84"/>
      <c r="O461" s="234">
        <f t="shared" si="35"/>
        <v>4806.8</v>
      </c>
      <c r="P461" s="234"/>
      <c r="Q461" s="234">
        <f t="shared" si="37"/>
        <v>4806.8</v>
      </c>
      <c r="R461" s="234">
        <f t="shared" si="40"/>
        <v>28840.800000000003</v>
      </c>
      <c r="T461" s="172"/>
    </row>
    <row r="462" spans="1:20" ht="15">
      <c r="A462" s="174"/>
      <c r="B462" s="281"/>
      <c r="C462" s="84"/>
      <c r="D462" s="278"/>
      <c r="E462" s="298"/>
      <c r="F462" s="84"/>
      <c r="G462" s="84"/>
      <c r="H462" s="84"/>
      <c r="I462" s="84"/>
      <c r="J462" s="84"/>
      <c r="K462" s="84"/>
      <c r="L462" s="84"/>
      <c r="M462" s="84"/>
      <c r="N462" s="84"/>
      <c r="O462" s="234"/>
      <c r="P462" s="234"/>
      <c r="Q462" s="234"/>
      <c r="R462" s="234">
        <f t="shared" si="40"/>
        <v>0</v>
      </c>
      <c r="T462" s="172"/>
    </row>
    <row r="463" spans="1:18" ht="12.75" customHeight="1" hidden="1">
      <c r="A463" s="174"/>
      <c r="B463" s="280"/>
      <c r="C463" s="162"/>
      <c r="D463" s="278"/>
      <c r="E463" s="298"/>
      <c r="F463" s="84"/>
      <c r="G463" s="84"/>
      <c r="H463" s="84"/>
      <c r="I463" s="84"/>
      <c r="J463" s="84"/>
      <c r="K463" s="84"/>
      <c r="L463" s="84"/>
      <c r="M463" s="84"/>
      <c r="N463" s="84"/>
      <c r="O463" s="234"/>
      <c r="P463" s="234"/>
      <c r="Q463" s="234"/>
      <c r="R463" s="234"/>
    </row>
    <row r="464" spans="1:23" ht="15">
      <c r="A464" s="174"/>
      <c r="B464" s="162" t="s">
        <v>15</v>
      </c>
      <c r="C464" s="84">
        <f>SUM(C432:C463)</f>
        <v>43.75</v>
      </c>
      <c r="D464" s="313">
        <f>D432+D434*C434+D436*C436+D437+D438+D439*C439+D440+D441+D443+D444+D445+D446+D447+D448*C448+D449+D450*C450+D451*C451+D452*C452+D453*C453+D454+D455+D456+D457*C457+D458*C458+D459*C459+D460+D461</f>
        <v>114256</v>
      </c>
      <c r="E464" s="284"/>
      <c r="F464" s="84">
        <f>SUM(F432:F463)</f>
        <v>16336.479999999998</v>
      </c>
      <c r="G464" s="84">
        <f aca="true" t="shared" si="41" ref="G464:R464">SUM(G432:G463)</f>
        <v>5604.320000000001</v>
      </c>
      <c r="H464" s="84">
        <f t="shared" si="41"/>
        <v>508.79999999999995</v>
      </c>
      <c r="I464" s="84">
        <f t="shared" si="41"/>
        <v>9862</v>
      </c>
      <c r="J464" s="168">
        <f t="shared" si="41"/>
        <v>2626.5600000000004</v>
      </c>
      <c r="K464" s="84">
        <f t="shared" si="41"/>
        <v>1027.1999999999998</v>
      </c>
      <c r="L464" s="84">
        <f t="shared" si="41"/>
        <v>2136.4</v>
      </c>
      <c r="M464" s="84">
        <f>SUM(M432:M463)</f>
        <v>2731.2000000000003</v>
      </c>
      <c r="N464" s="283">
        <f t="shared" si="41"/>
        <v>1910.4</v>
      </c>
      <c r="O464" s="168">
        <f>SUM(O432:O463)</f>
        <v>151178.708</v>
      </c>
      <c r="P464" s="283">
        <f>SUM(P432:P463)</f>
        <v>40841.6</v>
      </c>
      <c r="Q464" s="283">
        <f>Q432+Q434+Q436+Q437+Q438+Q439+Q440+Q441+Q443+Q445+Q446+Q447+Q448+Q449+Q450+Q451+Q453+Q454+Q455+Q456+Q457+Q458+Q459+Q460+Q461+Q444+Q442</f>
        <v>187063.27999999994</v>
      </c>
      <c r="R464" s="283">
        <f t="shared" si="41"/>
        <v>1617301.8455856002</v>
      </c>
      <c r="W464" s="16"/>
    </row>
    <row r="465" spans="1:18" ht="15">
      <c r="A465" s="172"/>
      <c r="B465" s="172"/>
      <c r="C465" s="172"/>
      <c r="D465" s="172"/>
      <c r="E465" s="175"/>
      <c r="F465" s="172"/>
      <c r="G465" s="172"/>
      <c r="H465" s="172"/>
      <c r="I465" s="172"/>
      <c r="J465" s="172"/>
      <c r="K465" s="172"/>
      <c r="L465" s="172"/>
      <c r="M465" s="172"/>
      <c r="N465" s="172"/>
      <c r="O465" s="172"/>
      <c r="P465" s="172"/>
      <c r="Q465" s="172"/>
      <c r="R465" s="172"/>
    </row>
    <row r="466" spans="1:18" ht="27" customHeight="1">
      <c r="A466" s="172"/>
      <c r="B466" s="285"/>
      <c r="C466" s="286"/>
      <c r="D466" s="287"/>
      <c r="E466" s="288"/>
      <c r="F466" s="287"/>
      <c r="G466" s="287"/>
      <c r="H466" s="287"/>
      <c r="I466" s="287"/>
      <c r="J466" s="287"/>
      <c r="K466" s="287"/>
      <c r="L466" s="287"/>
      <c r="M466" s="287"/>
      <c r="N466" s="287"/>
      <c r="O466" s="312"/>
      <c r="P466" s="312"/>
      <c r="Q466" s="312"/>
      <c r="R466" s="172"/>
    </row>
    <row r="467" spans="1:22" ht="37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18" ht="14.25" customHeight="1">
      <c r="A468" s="172"/>
      <c r="B468" s="172"/>
      <c r="C468" s="200" t="s">
        <v>371</v>
      </c>
      <c r="D468" s="200"/>
      <c r="E468" s="200"/>
      <c r="F468" s="200"/>
      <c r="G468" s="200"/>
      <c r="H468" s="200"/>
      <c r="I468" s="200"/>
      <c r="J468" s="200"/>
      <c r="K468" s="198" t="s">
        <v>372</v>
      </c>
      <c r="L468" s="198"/>
      <c r="M468" s="198"/>
      <c r="N468" s="198"/>
      <c r="O468" s="172"/>
      <c r="P468" s="172"/>
      <c r="Q468" s="172"/>
      <c r="R468" s="172"/>
    </row>
    <row r="469" spans="1:18" ht="18.75">
      <c r="A469" s="198"/>
      <c r="B469" s="232"/>
      <c r="C469" s="232"/>
      <c r="D469" s="232"/>
      <c r="E469" s="232"/>
      <c r="F469" s="232"/>
      <c r="G469" s="232"/>
      <c r="H469" s="232"/>
      <c r="I469" s="232"/>
      <c r="J469" s="232"/>
      <c r="K469" s="232"/>
      <c r="L469" s="232"/>
      <c r="M469" s="232"/>
      <c r="N469" s="198"/>
      <c r="O469" s="198"/>
      <c r="P469" s="198"/>
      <c r="Q469" s="198"/>
      <c r="R469" s="198"/>
    </row>
    <row r="470" spans="1:18" ht="15">
      <c r="A470" s="469"/>
      <c r="B470" s="469"/>
      <c r="C470" s="469"/>
      <c r="D470" s="469"/>
      <c r="E470" s="469"/>
      <c r="F470" s="469"/>
      <c r="G470" s="469"/>
      <c r="H470" s="469"/>
      <c r="I470" s="469"/>
      <c r="J470" s="469"/>
      <c r="K470" s="469"/>
      <c r="L470" s="469"/>
      <c r="M470" s="469"/>
      <c r="N470" s="469"/>
      <c r="O470" s="469"/>
      <c r="P470" s="469"/>
      <c r="Q470" s="469"/>
      <c r="R470" s="469"/>
    </row>
    <row r="471" spans="1:18" ht="15">
      <c r="A471" s="172"/>
      <c r="B471" s="418" t="s">
        <v>368</v>
      </c>
      <c r="C471" s="172"/>
      <c r="D471" s="172"/>
      <c r="E471" s="172"/>
      <c r="F471" s="172"/>
      <c r="G471" s="172"/>
      <c r="H471" s="172"/>
      <c r="I471" s="172"/>
      <c r="J471" s="172"/>
      <c r="K471" s="172"/>
      <c r="L471" s="172"/>
      <c r="M471" s="172"/>
      <c r="N471" s="172"/>
      <c r="O471" s="172"/>
      <c r="P471" s="172"/>
      <c r="Q471" s="172"/>
      <c r="R471" s="172"/>
    </row>
    <row r="472" spans="2:5" ht="15">
      <c r="B472" s="194">
        <v>42041</v>
      </c>
      <c r="E472" s="3"/>
    </row>
    <row r="473" spans="1:18" ht="15">
      <c r="A473" s="172"/>
      <c r="B473" s="290"/>
      <c r="C473" s="172"/>
      <c r="D473" s="172"/>
      <c r="E473" s="172"/>
      <c r="F473" s="172"/>
      <c r="G473" s="172"/>
      <c r="H473" s="172"/>
      <c r="I473" s="172"/>
      <c r="J473" s="172"/>
      <c r="K473" s="172"/>
      <c r="L473" s="172"/>
      <c r="M473" s="172"/>
      <c r="N473" s="172"/>
      <c r="O473" s="172"/>
      <c r="P473" s="172"/>
      <c r="Q473" s="172"/>
      <c r="R473" s="172"/>
    </row>
    <row r="474" ht="15">
      <c r="E474" s="3"/>
    </row>
    <row r="475" ht="15" customHeight="1" hidden="1"/>
    <row r="476" ht="15" customHeight="1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20.25">
      <c r="G490" s="196"/>
    </row>
    <row r="491" spans="1:18" ht="15">
      <c r="A491" s="172"/>
      <c r="B491" s="172"/>
      <c r="C491" s="172"/>
      <c r="D491" s="172"/>
      <c r="E491" s="175"/>
      <c r="F491" s="172"/>
      <c r="G491" s="172"/>
      <c r="H491" s="172"/>
      <c r="I491" s="172"/>
      <c r="J491" s="172"/>
      <c r="K491" s="172"/>
      <c r="L491" s="172"/>
      <c r="M491" s="172"/>
      <c r="N491" s="172"/>
      <c r="O491" s="172"/>
      <c r="P491" s="172"/>
      <c r="Q491" s="172"/>
      <c r="R491" s="172"/>
    </row>
    <row r="492" spans="1:18" ht="15">
      <c r="A492" s="172"/>
      <c r="B492" s="172"/>
      <c r="C492" s="172"/>
      <c r="D492" s="172"/>
      <c r="E492" s="175"/>
      <c r="F492" s="172"/>
      <c r="G492" s="172"/>
      <c r="H492" s="172"/>
      <c r="I492" s="172"/>
      <c r="J492" s="172"/>
      <c r="K492" s="172"/>
      <c r="L492" s="172"/>
      <c r="M492" s="172" t="s">
        <v>143</v>
      </c>
      <c r="N492" s="172"/>
      <c r="O492" s="172"/>
      <c r="P492" s="172"/>
      <c r="Q492" s="172"/>
      <c r="R492" s="172"/>
    </row>
    <row r="493" spans="1:18" ht="15">
      <c r="A493" s="172"/>
      <c r="B493" s="172"/>
      <c r="C493" s="172"/>
      <c r="D493" s="172"/>
      <c r="E493" s="175"/>
      <c r="F493" s="172"/>
      <c r="G493" s="172"/>
      <c r="H493" s="172"/>
      <c r="I493" s="172"/>
      <c r="J493" s="172"/>
      <c r="K493" s="198" t="s">
        <v>363</v>
      </c>
      <c r="L493" s="172"/>
      <c r="M493" s="172"/>
      <c r="N493" s="172"/>
      <c r="O493" s="172"/>
      <c r="P493" s="172"/>
      <c r="Q493" s="172"/>
      <c r="R493" s="172"/>
    </row>
    <row r="494" spans="1:18" ht="15">
      <c r="A494" s="172"/>
      <c r="B494" s="172"/>
      <c r="C494" s="172"/>
      <c r="D494" s="172"/>
      <c r="E494" s="175"/>
      <c r="F494" s="172"/>
      <c r="G494" s="172"/>
      <c r="H494" s="172"/>
      <c r="I494" s="198"/>
      <c r="J494" s="172"/>
      <c r="K494" s="172" t="s">
        <v>367</v>
      </c>
      <c r="L494" s="198"/>
      <c r="M494" s="198"/>
      <c r="N494" s="198"/>
      <c r="O494" s="198"/>
      <c r="P494" s="198"/>
      <c r="Q494" s="198"/>
      <c r="R494" s="172"/>
    </row>
    <row r="495" spans="1:18" ht="12" customHeight="1">
      <c r="A495" s="172"/>
      <c r="B495" s="172"/>
      <c r="C495" s="172"/>
      <c r="D495" s="172"/>
      <c r="E495" s="175"/>
      <c r="F495" s="172"/>
      <c r="G495" s="172"/>
      <c r="H495" s="172"/>
      <c r="I495" s="172"/>
      <c r="J495" s="198"/>
      <c r="K495" s="172" t="s">
        <v>393</v>
      </c>
      <c r="L495" s="172"/>
      <c r="M495" s="172"/>
      <c r="N495" s="172"/>
      <c r="O495" s="172"/>
      <c r="P495" s="172"/>
      <c r="Q495" s="172"/>
      <c r="R495" s="198"/>
    </row>
    <row r="496" spans="1:18" ht="16.5">
      <c r="A496" s="172"/>
      <c r="B496" s="459" t="s">
        <v>365</v>
      </c>
      <c r="C496" s="235"/>
      <c r="D496" s="172"/>
      <c r="E496" s="175"/>
      <c r="F496" s="172"/>
      <c r="G496" s="172"/>
      <c r="H496" s="172"/>
      <c r="I496" s="172"/>
      <c r="J496" s="172"/>
      <c r="K496" s="172"/>
      <c r="L496" s="172"/>
      <c r="M496" s="172"/>
      <c r="N496" s="172"/>
      <c r="O496" s="172"/>
      <c r="P496" s="172"/>
      <c r="Q496" s="172"/>
      <c r="R496" s="172"/>
    </row>
    <row r="497" spans="1:18" ht="45.75" customHeight="1">
      <c r="A497" s="172"/>
      <c r="B497" s="689" t="s">
        <v>344</v>
      </c>
      <c r="C497" s="689"/>
      <c r="D497" s="689"/>
      <c r="E497" s="689"/>
      <c r="F497" s="689"/>
      <c r="G497" s="689"/>
      <c r="H497" s="689"/>
      <c r="I497" s="689"/>
      <c r="J497" s="689"/>
      <c r="K497" s="689"/>
      <c r="L497" s="172"/>
      <c r="M497" s="172"/>
      <c r="N497" s="172"/>
      <c r="O497" s="172"/>
      <c r="P497" s="172"/>
      <c r="Q497" s="172"/>
      <c r="R497" s="172"/>
    </row>
    <row r="498" spans="1:18" ht="15">
      <c r="A498" s="172"/>
      <c r="B498" s="172" t="s">
        <v>16</v>
      </c>
      <c r="C498" s="172"/>
      <c r="D498" s="172"/>
      <c r="E498" s="175"/>
      <c r="F498" s="172"/>
      <c r="G498" s="172"/>
      <c r="H498" s="172"/>
      <c r="I498" s="176"/>
      <c r="J498" s="176"/>
      <c r="K498" s="176"/>
      <c r="L498" s="176"/>
      <c r="M498" s="176"/>
      <c r="N498" s="176"/>
      <c r="O498" s="176"/>
      <c r="P498" s="176"/>
      <c r="Q498" s="176"/>
      <c r="R498" s="172"/>
    </row>
    <row r="499" spans="1:18" ht="15">
      <c r="A499" s="172"/>
      <c r="B499" s="172"/>
      <c r="C499" s="172"/>
      <c r="D499" s="172"/>
      <c r="E499" s="175"/>
      <c r="F499" s="172"/>
      <c r="G499" s="172"/>
      <c r="H499" s="172"/>
      <c r="I499" s="176"/>
      <c r="J499" s="176"/>
      <c r="K499" s="176"/>
      <c r="L499" s="176"/>
      <c r="M499" s="176"/>
      <c r="N499" s="176"/>
      <c r="O499" s="176"/>
      <c r="P499" s="176"/>
      <c r="Q499" s="176"/>
      <c r="R499" s="172"/>
    </row>
    <row r="500" spans="1:18" ht="15">
      <c r="A500" s="172"/>
      <c r="B500" s="172"/>
      <c r="C500" s="172"/>
      <c r="D500" s="172"/>
      <c r="E500" s="175"/>
      <c r="F500" s="172"/>
      <c r="G500" s="172"/>
      <c r="H500" s="172"/>
      <c r="I500" s="176"/>
      <c r="J500" s="176"/>
      <c r="K500" s="176"/>
      <c r="L500" s="176"/>
      <c r="M500" s="176"/>
      <c r="N500" s="176"/>
      <c r="O500" s="176"/>
      <c r="P500" s="176"/>
      <c r="Q500" s="176"/>
      <c r="R500" s="172"/>
    </row>
    <row r="501" spans="1:18" ht="15">
      <c r="A501" s="323"/>
      <c r="B501" s="323"/>
      <c r="C501" s="323"/>
      <c r="D501" s="323"/>
      <c r="E501" s="324"/>
      <c r="F501" s="323"/>
      <c r="G501" s="323"/>
      <c r="H501" s="323"/>
      <c r="I501" s="323"/>
      <c r="J501" s="323"/>
      <c r="K501" s="323"/>
      <c r="L501" s="323"/>
      <c r="M501" s="323"/>
      <c r="N501" s="323"/>
      <c r="O501" s="323"/>
      <c r="P501" s="323"/>
      <c r="Q501" s="323"/>
      <c r="R501" s="323"/>
    </row>
    <row r="502" spans="1:18" ht="12.75" customHeight="1">
      <c r="A502" s="699" t="s">
        <v>1</v>
      </c>
      <c r="B502" s="325" t="s">
        <v>2</v>
      </c>
      <c r="C502" s="326" t="s">
        <v>4</v>
      </c>
      <c r="D502" s="504" t="s">
        <v>321</v>
      </c>
      <c r="E502" s="504" t="s">
        <v>322</v>
      </c>
      <c r="F502" s="701" t="s">
        <v>7</v>
      </c>
      <c r="G502" s="701"/>
      <c r="H502" s="701"/>
      <c r="I502" s="701"/>
      <c r="J502" s="327"/>
      <c r="K502" s="328"/>
      <c r="L502" s="328" t="s">
        <v>8</v>
      </c>
      <c r="M502" s="328"/>
      <c r="N502" s="328"/>
      <c r="O502" s="329" t="s">
        <v>10</v>
      </c>
      <c r="P502" s="493" t="s">
        <v>339</v>
      </c>
      <c r="Q502" s="473" t="s">
        <v>340</v>
      </c>
      <c r="R502" s="326" t="s">
        <v>13</v>
      </c>
    </row>
    <row r="503" spans="1:18" ht="12.75" customHeight="1">
      <c r="A503" s="700"/>
      <c r="B503" s="331" t="s">
        <v>3</v>
      </c>
      <c r="C503" s="331" t="s">
        <v>5</v>
      </c>
      <c r="D503" s="504"/>
      <c r="E503" s="504"/>
      <c r="F503" s="707" t="s">
        <v>18</v>
      </c>
      <c r="G503" s="523" t="s">
        <v>389</v>
      </c>
      <c r="H503" s="668" t="s">
        <v>319</v>
      </c>
      <c r="I503" s="668"/>
      <c r="J503" s="523"/>
      <c r="K503" s="498" t="s">
        <v>195</v>
      </c>
      <c r="L503" s="557" t="s">
        <v>113</v>
      </c>
      <c r="M503" s="557" t="s">
        <v>114</v>
      </c>
      <c r="N503" s="660" t="s">
        <v>234</v>
      </c>
      <c r="O503" s="332" t="s">
        <v>11</v>
      </c>
      <c r="P503" s="494"/>
      <c r="Q503" s="474"/>
      <c r="R503" s="333" t="s">
        <v>11</v>
      </c>
    </row>
    <row r="504" spans="1:18" ht="15" customHeight="1">
      <c r="A504" s="700"/>
      <c r="B504" s="331"/>
      <c r="C504" s="331" t="s">
        <v>6</v>
      </c>
      <c r="D504" s="504"/>
      <c r="E504" s="504"/>
      <c r="F504" s="707"/>
      <c r="G504" s="483"/>
      <c r="H504" s="558"/>
      <c r="I504" s="558"/>
      <c r="J504" s="483"/>
      <c r="K504" s="499"/>
      <c r="L504" s="558"/>
      <c r="M504" s="558"/>
      <c r="N504" s="661"/>
      <c r="O504" s="334" t="s">
        <v>12</v>
      </c>
      <c r="P504" s="494"/>
      <c r="Q504" s="474"/>
      <c r="R504" s="333" t="s">
        <v>14</v>
      </c>
    </row>
    <row r="505" spans="1:18" ht="15">
      <c r="A505" s="330"/>
      <c r="B505" s="331"/>
      <c r="C505" s="331"/>
      <c r="D505" s="504"/>
      <c r="E505" s="504"/>
      <c r="F505" s="707"/>
      <c r="G505" s="483"/>
      <c r="H505" s="558"/>
      <c r="I505" s="558"/>
      <c r="J505" s="483"/>
      <c r="K505" s="499"/>
      <c r="L505" s="558"/>
      <c r="M505" s="558"/>
      <c r="N505" s="661"/>
      <c r="O505" s="334" t="s">
        <v>115</v>
      </c>
      <c r="P505" s="494"/>
      <c r="Q505" s="474"/>
      <c r="R505" s="333" t="s">
        <v>115</v>
      </c>
    </row>
    <row r="506" spans="1:18" ht="75.75" customHeight="1">
      <c r="A506" s="335"/>
      <c r="B506" s="336"/>
      <c r="C506" s="336"/>
      <c r="D506" s="504"/>
      <c r="E506" s="504"/>
      <c r="F506" s="708"/>
      <c r="G506" s="484"/>
      <c r="H506" s="559"/>
      <c r="I506" s="559"/>
      <c r="J506" s="484"/>
      <c r="K506" s="500"/>
      <c r="L506" s="559"/>
      <c r="M506" s="559"/>
      <c r="N506" s="662"/>
      <c r="O506" s="337"/>
      <c r="P506" s="495"/>
      <c r="Q506" s="475"/>
      <c r="R506" s="338"/>
    </row>
    <row r="507" spans="1:19" ht="20.25" customHeight="1">
      <c r="A507" s="339">
        <v>1</v>
      </c>
      <c r="B507" s="251" t="s">
        <v>152</v>
      </c>
      <c r="C507" s="340">
        <v>1</v>
      </c>
      <c r="D507" s="278">
        <v>4128</v>
      </c>
      <c r="E507" s="293">
        <v>15</v>
      </c>
      <c r="F507" s="233">
        <f>D507*30%</f>
        <v>1238.3999999999999</v>
      </c>
      <c r="G507" s="233">
        <f>D507*5%</f>
        <v>206.4</v>
      </c>
      <c r="H507" s="341"/>
      <c r="I507" s="341"/>
      <c r="J507" s="341"/>
      <c r="K507" s="341"/>
      <c r="L507" s="341"/>
      <c r="M507" s="341"/>
      <c r="N507" s="341"/>
      <c r="O507" s="342">
        <f>D507*C507+F507+G507+H507+I507+K507+L507+M507+N507+J507</f>
        <v>5572.799999999999</v>
      </c>
      <c r="P507" s="342"/>
      <c r="Q507" s="342">
        <f>O507+P507</f>
        <v>5572.799999999999</v>
      </c>
      <c r="R507" s="342">
        <f>O507*12</f>
        <v>66873.59999999999</v>
      </c>
      <c r="S507" s="3">
        <f>D507+D508*C508+D510+D511+D524</f>
        <v>15784.8</v>
      </c>
    </row>
    <row r="508" spans="1:18" ht="76.5">
      <c r="A508" s="343">
        <v>2</v>
      </c>
      <c r="B508" s="344" t="s">
        <v>128</v>
      </c>
      <c r="C508" s="345">
        <v>0.5</v>
      </c>
      <c r="D508" s="278">
        <f>D507*95%</f>
        <v>3921.6</v>
      </c>
      <c r="E508" s="227" t="s">
        <v>126</v>
      </c>
      <c r="F508" s="233">
        <f>D508*C508*30%</f>
        <v>588.24</v>
      </c>
      <c r="G508" s="233">
        <f>D508*5%*C508</f>
        <v>98.04</v>
      </c>
      <c r="H508" s="341"/>
      <c r="I508" s="346"/>
      <c r="J508" s="341"/>
      <c r="K508" s="346"/>
      <c r="L508" s="346"/>
      <c r="M508" s="346"/>
      <c r="N508" s="346"/>
      <c r="O508" s="342">
        <f aca="true" t="shared" si="42" ref="O508:O528">D508*C508+F508+G508+H508+I508+K508+L508+M508+N508+J508</f>
        <v>2647.08</v>
      </c>
      <c r="P508" s="413"/>
      <c r="Q508" s="342">
        <f aca="true" t="shared" si="43" ref="Q508:Q528">O508+P508</f>
        <v>2647.08</v>
      </c>
      <c r="R508" s="342">
        <f aca="true" t="shared" si="44" ref="R508:R528">O508*12</f>
        <v>31764.96</v>
      </c>
    </row>
    <row r="509" spans="1:18" ht="20.25" customHeight="1" hidden="1">
      <c r="A509" s="343">
        <v>3</v>
      </c>
      <c r="B509" s="162" t="s">
        <v>179</v>
      </c>
      <c r="C509" s="84"/>
      <c r="D509" s="278"/>
      <c r="E509" s="293">
        <v>9</v>
      </c>
      <c r="F509" s="274"/>
      <c r="G509" s="233"/>
      <c r="H509" s="341"/>
      <c r="I509" s="346"/>
      <c r="J509" s="341"/>
      <c r="K509" s="346"/>
      <c r="L509" s="346"/>
      <c r="M509" s="346"/>
      <c r="N509" s="346"/>
      <c r="O509" s="342">
        <f>D509*C509+F509+G509+H509+I509+K509+L509+M509+N509+J509</f>
        <v>0</v>
      </c>
      <c r="P509" s="413">
        <f aca="true" t="shared" si="45" ref="P509:P528">3200*C509-(O509-N509-M509-L509)</f>
        <v>0</v>
      </c>
      <c r="Q509" s="342">
        <f t="shared" si="43"/>
        <v>0</v>
      </c>
      <c r="R509" s="342">
        <f t="shared" si="44"/>
        <v>0</v>
      </c>
    </row>
    <row r="510" spans="1:18" ht="20.25" customHeight="1">
      <c r="A510" s="343">
        <v>3</v>
      </c>
      <c r="B510" s="279" t="s">
        <v>21</v>
      </c>
      <c r="C510" s="345">
        <v>1</v>
      </c>
      <c r="D510" s="278">
        <v>3392</v>
      </c>
      <c r="E510" s="293">
        <v>12</v>
      </c>
      <c r="F510" s="233">
        <f>D510*10%</f>
        <v>339.20000000000005</v>
      </c>
      <c r="G510" s="233">
        <f>D510*5%</f>
        <v>169.60000000000002</v>
      </c>
      <c r="H510" s="341"/>
      <c r="I510" s="346"/>
      <c r="J510" s="341"/>
      <c r="K510" s="346"/>
      <c r="L510" s="346"/>
      <c r="M510" s="346"/>
      <c r="N510" s="346"/>
      <c r="O510" s="342">
        <f t="shared" si="42"/>
        <v>3900.7999999999997</v>
      </c>
      <c r="P510" s="413"/>
      <c r="Q510" s="342">
        <f t="shared" si="43"/>
        <v>3900.7999999999997</v>
      </c>
      <c r="R510" s="342">
        <f t="shared" si="44"/>
        <v>46809.6</v>
      </c>
    </row>
    <row r="511" spans="1:18" ht="20.25" customHeight="1">
      <c r="A511" s="343">
        <v>4</v>
      </c>
      <c r="B511" s="279" t="s">
        <v>32</v>
      </c>
      <c r="C511" s="345">
        <v>1</v>
      </c>
      <c r="D511" s="278">
        <v>3152</v>
      </c>
      <c r="E511" s="293">
        <v>11</v>
      </c>
      <c r="F511" s="233">
        <v>512</v>
      </c>
      <c r="G511" s="233">
        <f>D511*5%</f>
        <v>157.60000000000002</v>
      </c>
      <c r="H511" s="341"/>
      <c r="I511" s="346"/>
      <c r="J511" s="341"/>
      <c r="K511" s="346"/>
      <c r="L511" s="346"/>
      <c r="M511" s="346"/>
      <c r="N511" s="346"/>
      <c r="O511" s="342">
        <f t="shared" si="42"/>
        <v>3821.6</v>
      </c>
      <c r="P511" s="413"/>
      <c r="Q511" s="342">
        <f t="shared" si="43"/>
        <v>3821.6</v>
      </c>
      <c r="R511" s="342">
        <f t="shared" si="44"/>
        <v>45859.2</v>
      </c>
    </row>
    <row r="512" spans="1:18" ht="20.25" customHeight="1">
      <c r="A512" s="343">
        <v>5</v>
      </c>
      <c r="B512" s="281" t="s">
        <v>34</v>
      </c>
      <c r="C512" s="345">
        <v>0.5</v>
      </c>
      <c r="D512" s="278">
        <v>3872</v>
      </c>
      <c r="E512" s="293">
        <v>14</v>
      </c>
      <c r="F512" s="233">
        <f>D512*C512*20%</f>
        <v>387.20000000000005</v>
      </c>
      <c r="G512" s="233">
        <f>D512*5%</f>
        <v>193.60000000000002</v>
      </c>
      <c r="H512" s="341"/>
      <c r="I512" s="346"/>
      <c r="J512" s="341"/>
      <c r="K512" s="346"/>
      <c r="L512" s="346"/>
      <c r="M512" s="346"/>
      <c r="N512" s="346"/>
      <c r="O512" s="342">
        <f t="shared" si="42"/>
        <v>2516.7999999999997</v>
      </c>
      <c r="P512" s="413"/>
      <c r="Q512" s="342">
        <f t="shared" si="43"/>
        <v>2516.7999999999997</v>
      </c>
      <c r="R512" s="342">
        <f t="shared" si="44"/>
        <v>30201.6</v>
      </c>
    </row>
    <row r="513" spans="1:19" ht="20.25" customHeight="1">
      <c r="A513" s="343">
        <v>6</v>
      </c>
      <c r="B513" s="279" t="s">
        <v>360</v>
      </c>
      <c r="C513" s="345">
        <v>0.5</v>
      </c>
      <c r="D513" s="278">
        <v>2912</v>
      </c>
      <c r="E513" s="293">
        <v>10</v>
      </c>
      <c r="F513" s="233"/>
      <c r="G513" s="84"/>
      <c r="H513" s="341">
        <f>D513*10%*C513</f>
        <v>145.6</v>
      </c>
      <c r="I513" s="346"/>
      <c r="J513" s="346"/>
      <c r="K513" s="346"/>
      <c r="L513" s="346"/>
      <c r="M513" s="346"/>
      <c r="N513" s="346"/>
      <c r="O513" s="342">
        <f t="shared" si="42"/>
        <v>1601.6</v>
      </c>
      <c r="P513" s="413"/>
      <c r="Q513" s="342">
        <f t="shared" si="43"/>
        <v>1601.6</v>
      </c>
      <c r="R513" s="342">
        <f t="shared" si="44"/>
        <v>19219.199999999997</v>
      </c>
      <c r="S513" s="16">
        <f>D513*C513+D514+N514+D515+D517+D518*C518+D519+D520*C520+D521*C521+D522*C522+N522+D523+N523+D525+D526*C526+D527*C527+D528*C528+H513</f>
        <v>35690</v>
      </c>
    </row>
    <row r="514" spans="1:19" ht="20.25" customHeight="1">
      <c r="A514" s="343">
        <v>7</v>
      </c>
      <c r="B514" s="279" t="s">
        <v>221</v>
      </c>
      <c r="C514" s="345">
        <v>1</v>
      </c>
      <c r="D514" s="278">
        <v>2320</v>
      </c>
      <c r="E514" s="293">
        <v>6</v>
      </c>
      <c r="F514" s="233">
        <f>D514*C514*30%</f>
        <v>696</v>
      </c>
      <c r="G514" s="84"/>
      <c r="H514" s="341"/>
      <c r="I514" s="346"/>
      <c r="J514" s="346"/>
      <c r="K514" s="346"/>
      <c r="L514" s="346"/>
      <c r="M514" s="346"/>
      <c r="N514" s="346">
        <f>D514*7%</f>
        <v>162.4</v>
      </c>
      <c r="O514" s="342">
        <f t="shared" si="42"/>
        <v>3178.4</v>
      </c>
      <c r="P514" s="413">
        <f t="shared" si="45"/>
        <v>184</v>
      </c>
      <c r="Q514" s="342">
        <f t="shared" si="43"/>
        <v>3362.4</v>
      </c>
      <c r="R514" s="342">
        <f t="shared" si="44"/>
        <v>38140.8</v>
      </c>
      <c r="S514" s="16"/>
    </row>
    <row r="515" spans="1:18" ht="22.5" customHeight="1">
      <c r="A515" s="343">
        <v>8</v>
      </c>
      <c r="B515" s="279" t="s">
        <v>203</v>
      </c>
      <c r="C515" s="345">
        <v>1</v>
      </c>
      <c r="D515" s="347">
        <v>2624</v>
      </c>
      <c r="E515" s="293">
        <v>8</v>
      </c>
      <c r="F515" s="346"/>
      <c r="G515" s="346"/>
      <c r="H515" s="346"/>
      <c r="I515" s="346"/>
      <c r="J515" s="346"/>
      <c r="K515" s="346"/>
      <c r="L515" s="346"/>
      <c r="M515" s="346"/>
      <c r="N515" s="346"/>
      <c r="O515" s="342">
        <f t="shared" si="42"/>
        <v>2624</v>
      </c>
      <c r="P515" s="413">
        <f t="shared" si="45"/>
        <v>576</v>
      </c>
      <c r="Q515" s="342">
        <f t="shared" si="43"/>
        <v>3200</v>
      </c>
      <c r="R515" s="342">
        <f t="shared" si="44"/>
        <v>31488</v>
      </c>
    </row>
    <row r="516" spans="1:18" ht="1.5" customHeight="1" hidden="1">
      <c r="A516" s="343"/>
      <c r="B516" s="279"/>
      <c r="C516" s="346"/>
      <c r="D516" s="278"/>
      <c r="E516" s="293"/>
      <c r="F516" s="346"/>
      <c r="G516" s="346"/>
      <c r="H516" s="346"/>
      <c r="I516" s="346"/>
      <c r="J516" s="346"/>
      <c r="K516" s="346"/>
      <c r="L516" s="346"/>
      <c r="M516" s="346"/>
      <c r="N516" s="346"/>
      <c r="O516" s="342">
        <f t="shared" si="42"/>
        <v>0</v>
      </c>
      <c r="P516" s="413">
        <f t="shared" si="45"/>
        <v>0</v>
      </c>
      <c r="Q516" s="342">
        <f t="shared" si="43"/>
        <v>0</v>
      </c>
      <c r="R516" s="342"/>
    </row>
    <row r="517" spans="1:18" ht="18" customHeight="1">
      <c r="A517" s="343">
        <v>9</v>
      </c>
      <c r="B517" s="279" t="s">
        <v>196</v>
      </c>
      <c r="C517" s="345">
        <v>1</v>
      </c>
      <c r="D517" s="278">
        <v>1600</v>
      </c>
      <c r="E517" s="293">
        <v>1</v>
      </c>
      <c r="F517" s="346"/>
      <c r="G517" s="346"/>
      <c r="H517" s="346"/>
      <c r="I517" s="346"/>
      <c r="J517" s="346"/>
      <c r="K517" s="346">
        <f>D517*12%*C517</f>
        <v>192</v>
      </c>
      <c r="L517" s="346"/>
      <c r="M517" s="346">
        <f>D517*40%*C517</f>
        <v>640</v>
      </c>
      <c r="N517" s="348"/>
      <c r="O517" s="342">
        <f t="shared" si="42"/>
        <v>2432</v>
      </c>
      <c r="P517" s="413">
        <f t="shared" si="45"/>
        <v>1408</v>
      </c>
      <c r="Q517" s="342">
        <f t="shared" si="43"/>
        <v>3840</v>
      </c>
      <c r="R517" s="342">
        <f>O517*12</f>
        <v>29184</v>
      </c>
    </row>
    <row r="518" spans="1:18" ht="18" customHeight="1">
      <c r="A518" s="343">
        <v>10</v>
      </c>
      <c r="B518" s="279" t="s">
        <v>254</v>
      </c>
      <c r="C518" s="345">
        <v>3</v>
      </c>
      <c r="D518" s="278">
        <v>1600</v>
      </c>
      <c r="E518" s="293">
        <v>1</v>
      </c>
      <c r="F518" s="346"/>
      <c r="G518" s="346"/>
      <c r="H518" s="346"/>
      <c r="I518" s="346"/>
      <c r="J518" s="346"/>
      <c r="K518" s="346">
        <f>D518*12%*C518</f>
        <v>576</v>
      </c>
      <c r="L518" s="346"/>
      <c r="M518" s="346">
        <f>D518*40%*C518</f>
        <v>1920</v>
      </c>
      <c r="N518" s="348"/>
      <c r="O518" s="342">
        <f t="shared" si="42"/>
        <v>7296</v>
      </c>
      <c r="P518" s="413">
        <f t="shared" si="45"/>
        <v>4224</v>
      </c>
      <c r="Q518" s="342">
        <f t="shared" si="43"/>
        <v>11520</v>
      </c>
      <c r="R518" s="342">
        <f>O518*6</f>
        <v>43776</v>
      </c>
    </row>
    <row r="519" spans="1:19" ht="42.75">
      <c r="A519" s="343">
        <v>11</v>
      </c>
      <c r="B519" s="280" t="s">
        <v>182</v>
      </c>
      <c r="C519" s="345">
        <v>1</v>
      </c>
      <c r="D519" s="278">
        <v>2032</v>
      </c>
      <c r="E519" s="293">
        <v>4</v>
      </c>
      <c r="F519" s="346"/>
      <c r="G519" s="346"/>
      <c r="H519" s="346"/>
      <c r="I519" s="346"/>
      <c r="J519" s="346"/>
      <c r="K519" s="346"/>
      <c r="L519" s="346"/>
      <c r="M519" s="346"/>
      <c r="N519" s="346"/>
      <c r="O519" s="342">
        <f t="shared" si="42"/>
        <v>2032</v>
      </c>
      <c r="P519" s="413">
        <f t="shared" si="45"/>
        <v>1168</v>
      </c>
      <c r="Q519" s="342">
        <f t="shared" si="43"/>
        <v>3200</v>
      </c>
      <c r="R519" s="342">
        <f>O519*12</f>
        <v>24384</v>
      </c>
      <c r="S519" s="16"/>
    </row>
    <row r="520" spans="1:18" ht="15">
      <c r="A520" s="343">
        <v>12</v>
      </c>
      <c r="B520" s="279" t="s">
        <v>27</v>
      </c>
      <c r="C520" s="346">
        <v>2.75</v>
      </c>
      <c r="D520" s="278">
        <v>1744</v>
      </c>
      <c r="E520" s="293">
        <v>2</v>
      </c>
      <c r="F520" s="346"/>
      <c r="G520" s="346"/>
      <c r="H520" s="346"/>
      <c r="I520" s="346"/>
      <c r="J520" s="346"/>
      <c r="K520" s="346"/>
      <c r="L520" s="346"/>
      <c r="M520" s="346">
        <f>D520*40%*C520</f>
        <v>1918.4</v>
      </c>
      <c r="N520" s="349"/>
      <c r="O520" s="342">
        <f t="shared" si="42"/>
        <v>6714.4</v>
      </c>
      <c r="P520" s="413">
        <f t="shared" si="45"/>
        <v>4004</v>
      </c>
      <c r="Q520" s="342">
        <f t="shared" si="43"/>
        <v>10718.4</v>
      </c>
      <c r="R520" s="342">
        <f t="shared" si="44"/>
        <v>80572.79999999999</v>
      </c>
    </row>
    <row r="521" spans="1:18" ht="27.75" customHeight="1">
      <c r="A521" s="343">
        <v>13</v>
      </c>
      <c r="B521" s="281" t="s">
        <v>193</v>
      </c>
      <c r="C521" s="345">
        <v>3</v>
      </c>
      <c r="D521" s="278">
        <v>1744</v>
      </c>
      <c r="E521" s="293">
        <v>2</v>
      </c>
      <c r="F521" s="346"/>
      <c r="G521" s="346"/>
      <c r="H521" s="346"/>
      <c r="I521" s="346"/>
      <c r="J521" s="346"/>
      <c r="K521" s="346"/>
      <c r="L521" s="346">
        <f>D521*C521*10%</f>
        <v>523.2</v>
      </c>
      <c r="M521" s="346"/>
      <c r="N521" s="346"/>
      <c r="O521" s="342">
        <f t="shared" si="42"/>
        <v>5755.2</v>
      </c>
      <c r="P521" s="413">
        <f t="shared" si="45"/>
        <v>4368</v>
      </c>
      <c r="Q521" s="342">
        <f t="shared" si="43"/>
        <v>10123.2</v>
      </c>
      <c r="R521" s="342">
        <f t="shared" si="44"/>
        <v>69062.4</v>
      </c>
    </row>
    <row r="522" spans="1:18" ht="17.25" customHeight="1">
      <c r="A522" s="343">
        <v>14</v>
      </c>
      <c r="B522" s="279" t="s">
        <v>25</v>
      </c>
      <c r="C522" s="345">
        <v>1.5</v>
      </c>
      <c r="D522" s="278">
        <v>2320</v>
      </c>
      <c r="E522" s="293">
        <v>6</v>
      </c>
      <c r="F522" s="346"/>
      <c r="G522" s="346"/>
      <c r="H522" s="346"/>
      <c r="I522" s="346"/>
      <c r="J522" s="346"/>
      <c r="K522" s="346">
        <f>D522*C522*12%</f>
        <v>417.59999999999997</v>
      </c>
      <c r="L522" s="346"/>
      <c r="M522" s="346"/>
      <c r="N522" s="348">
        <f>D522*C522*15%</f>
        <v>522</v>
      </c>
      <c r="O522" s="342">
        <f t="shared" si="42"/>
        <v>4419.6</v>
      </c>
      <c r="P522" s="413">
        <f t="shared" si="45"/>
        <v>902.3999999999996</v>
      </c>
      <c r="Q522" s="342">
        <f t="shared" si="43"/>
        <v>5322</v>
      </c>
      <c r="R522" s="342">
        <f t="shared" si="44"/>
        <v>53035.200000000004</v>
      </c>
    </row>
    <row r="523" spans="1:18" ht="17.25" customHeight="1">
      <c r="A523" s="343">
        <v>15</v>
      </c>
      <c r="B523" s="162" t="s">
        <v>151</v>
      </c>
      <c r="C523" s="345">
        <v>1</v>
      </c>
      <c r="D523" s="278">
        <v>1600</v>
      </c>
      <c r="E523" s="293">
        <v>1</v>
      </c>
      <c r="F523" s="346"/>
      <c r="G523" s="346"/>
      <c r="H523" s="346"/>
      <c r="I523" s="346"/>
      <c r="J523" s="346"/>
      <c r="K523" s="346">
        <f>D523*C523*12%</f>
        <v>192</v>
      </c>
      <c r="L523" s="346"/>
      <c r="M523" s="346"/>
      <c r="N523" s="348">
        <f>D523*C523*15%</f>
        <v>240</v>
      </c>
      <c r="O523" s="342">
        <f t="shared" si="42"/>
        <v>2032</v>
      </c>
      <c r="P523" s="413">
        <f t="shared" si="45"/>
        <v>1408</v>
      </c>
      <c r="Q523" s="342">
        <f t="shared" si="43"/>
        <v>3440</v>
      </c>
      <c r="R523" s="342">
        <f t="shared" si="44"/>
        <v>24384</v>
      </c>
    </row>
    <row r="524" spans="1:18" ht="21.75" customHeight="1">
      <c r="A524" s="343">
        <v>16</v>
      </c>
      <c r="B524" s="279" t="s">
        <v>22</v>
      </c>
      <c r="C524" s="345">
        <v>1</v>
      </c>
      <c r="D524" s="350">
        <v>3152</v>
      </c>
      <c r="E524" s="293">
        <v>11</v>
      </c>
      <c r="F524" s="346">
        <f>D524*C524*10%</f>
        <v>315.20000000000005</v>
      </c>
      <c r="G524" s="346">
        <f>D524*5%</f>
        <v>157.60000000000002</v>
      </c>
      <c r="H524" s="346"/>
      <c r="I524" s="346"/>
      <c r="J524" s="346"/>
      <c r="K524" s="346"/>
      <c r="L524" s="346"/>
      <c r="M524" s="346"/>
      <c r="N524" s="348"/>
      <c r="O524" s="342">
        <f t="shared" si="42"/>
        <v>3624.7999999999997</v>
      </c>
      <c r="P524" s="413"/>
      <c r="Q524" s="342">
        <f t="shared" si="43"/>
        <v>3624.7999999999997</v>
      </c>
      <c r="R524" s="342">
        <f t="shared" si="44"/>
        <v>43497.6</v>
      </c>
    </row>
    <row r="525" spans="1:18" ht="17.25" customHeight="1">
      <c r="A525" s="343">
        <v>17</v>
      </c>
      <c r="B525" s="279" t="s">
        <v>28</v>
      </c>
      <c r="C525" s="346">
        <v>1</v>
      </c>
      <c r="D525" s="278">
        <v>2320</v>
      </c>
      <c r="E525" s="293">
        <v>6</v>
      </c>
      <c r="F525" s="346"/>
      <c r="G525" s="346"/>
      <c r="H525" s="346"/>
      <c r="I525" s="346"/>
      <c r="J525" s="346"/>
      <c r="K525" s="346"/>
      <c r="L525" s="346"/>
      <c r="M525" s="346"/>
      <c r="N525" s="348"/>
      <c r="O525" s="342">
        <f t="shared" si="42"/>
        <v>2320</v>
      </c>
      <c r="P525" s="413">
        <f t="shared" si="45"/>
        <v>880</v>
      </c>
      <c r="Q525" s="342">
        <f t="shared" si="43"/>
        <v>3200</v>
      </c>
      <c r="R525" s="342">
        <f t="shared" si="44"/>
        <v>27840</v>
      </c>
    </row>
    <row r="526" spans="1:18" ht="17.25" customHeight="1">
      <c r="A526" s="343">
        <v>18</v>
      </c>
      <c r="B526" s="279" t="s">
        <v>23</v>
      </c>
      <c r="C526" s="345">
        <v>0.5</v>
      </c>
      <c r="D526" s="278">
        <v>2176</v>
      </c>
      <c r="E526" s="293">
        <v>5</v>
      </c>
      <c r="F526" s="346"/>
      <c r="G526" s="346"/>
      <c r="H526" s="346"/>
      <c r="I526" s="346"/>
      <c r="J526" s="346"/>
      <c r="K526" s="346"/>
      <c r="L526" s="346"/>
      <c r="M526" s="346"/>
      <c r="N526" s="348"/>
      <c r="O526" s="342">
        <f t="shared" si="42"/>
        <v>1088</v>
      </c>
      <c r="P526" s="413">
        <f t="shared" si="45"/>
        <v>512</v>
      </c>
      <c r="Q526" s="342">
        <f t="shared" si="43"/>
        <v>1600</v>
      </c>
      <c r="R526" s="342">
        <f t="shared" si="44"/>
        <v>13056</v>
      </c>
    </row>
    <row r="527" spans="1:20" ht="14.25" customHeight="1">
      <c r="A527" s="343">
        <v>19</v>
      </c>
      <c r="B527" s="281" t="s">
        <v>31</v>
      </c>
      <c r="C527" s="351">
        <v>0.5</v>
      </c>
      <c r="D527" s="352">
        <v>1744</v>
      </c>
      <c r="E527" s="293">
        <v>2</v>
      </c>
      <c r="F527" s="346"/>
      <c r="G527" s="346"/>
      <c r="H527" s="346"/>
      <c r="I527" s="346"/>
      <c r="J527" s="346"/>
      <c r="K527" s="346"/>
      <c r="L527" s="346"/>
      <c r="M527" s="346"/>
      <c r="N527" s="348"/>
      <c r="O527" s="342">
        <f t="shared" si="42"/>
        <v>872</v>
      </c>
      <c r="P527" s="413">
        <f t="shared" si="45"/>
        <v>728</v>
      </c>
      <c r="Q527" s="342">
        <f t="shared" si="43"/>
        <v>1600</v>
      </c>
      <c r="R527" s="342">
        <f t="shared" si="44"/>
        <v>10464</v>
      </c>
      <c r="T527" s="172"/>
    </row>
    <row r="528" spans="1:20" ht="14.25" customHeight="1">
      <c r="A528" s="343">
        <v>20</v>
      </c>
      <c r="B528" s="281" t="s">
        <v>30</v>
      </c>
      <c r="C528" s="351">
        <v>0.25</v>
      </c>
      <c r="D528" s="278">
        <v>1600</v>
      </c>
      <c r="E528" s="293">
        <v>1</v>
      </c>
      <c r="F528" s="346"/>
      <c r="G528" s="346"/>
      <c r="H528" s="346"/>
      <c r="I528" s="346"/>
      <c r="J528" s="346"/>
      <c r="K528" s="346"/>
      <c r="L528" s="346"/>
      <c r="M528" s="346"/>
      <c r="N528" s="348"/>
      <c r="O528" s="342">
        <f t="shared" si="42"/>
        <v>400</v>
      </c>
      <c r="P528" s="413">
        <f t="shared" si="45"/>
        <v>400</v>
      </c>
      <c r="Q528" s="342">
        <f t="shared" si="43"/>
        <v>800</v>
      </c>
      <c r="R528" s="342">
        <f t="shared" si="44"/>
        <v>4800</v>
      </c>
      <c r="T528" s="172"/>
    </row>
    <row r="529" spans="1:23" ht="18.75" customHeight="1">
      <c r="A529" s="279"/>
      <c r="B529" s="279" t="s">
        <v>15</v>
      </c>
      <c r="C529" s="346">
        <f>SUM(C507:C528)</f>
        <v>23</v>
      </c>
      <c r="D529" s="354">
        <f>D507+D508*C508+D510+D511+D513*C513+D515+D516*C516+D517*C517+D519+D520*C520+D521*C521+D522+D523+D524+D525*C525+D526*C526+D514*C514+D509*C509+D527*C527+D518*C518</f>
        <v>48844.8</v>
      </c>
      <c r="E529" s="353"/>
      <c r="F529" s="346">
        <f>SUM(F507:F525)</f>
        <v>4076.24</v>
      </c>
      <c r="G529" s="346">
        <f aca="true" t="shared" si="46" ref="G529:N529">SUM(G507:G525)</f>
        <v>982.8400000000001</v>
      </c>
      <c r="H529" s="356">
        <f t="shared" si="46"/>
        <v>145.6</v>
      </c>
      <c r="I529" s="346">
        <f t="shared" si="46"/>
        <v>0</v>
      </c>
      <c r="J529" s="354">
        <f t="shared" si="46"/>
        <v>0</v>
      </c>
      <c r="K529" s="346">
        <f t="shared" si="46"/>
        <v>1377.6</v>
      </c>
      <c r="L529" s="346">
        <f t="shared" si="46"/>
        <v>523.2</v>
      </c>
      <c r="M529" s="346">
        <f t="shared" si="46"/>
        <v>4478.4</v>
      </c>
      <c r="N529" s="348">
        <f t="shared" si="46"/>
        <v>924.4</v>
      </c>
      <c r="O529" s="346">
        <f>SUM(O507:O527)+O528</f>
        <v>64849.08</v>
      </c>
      <c r="P529" s="346">
        <f>SUM(P507:P527)+P528</f>
        <v>20762.4</v>
      </c>
      <c r="Q529" s="346">
        <f>SUM(Q507:Q527)+Q528</f>
        <v>85611.48000000001</v>
      </c>
      <c r="R529" s="346">
        <f>SUM(R507:R524)+R525</f>
        <v>706092.9599999998</v>
      </c>
      <c r="T529" s="172"/>
      <c r="W529" s="16"/>
    </row>
    <row r="530" spans="1:18" ht="15">
      <c r="A530" s="172"/>
      <c r="B530" s="172"/>
      <c r="C530" s="172"/>
      <c r="D530" s="172"/>
      <c r="E530" s="175"/>
      <c r="F530" s="172"/>
      <c r="G530" s="172"/>
      <c r="H530" s="172"/>
      <c r="I530" s="172"/>
      <c r="J530" s="172"/>
      <c r="K530" s="172"/>
      <c r="L530" s="172"/>
      <c r="M530" s="172"/>
      <c r="N530" s="172"/>
      <c r="O530" s="172"/>
      <c r="P530" s="172"/>
      <c r="Q530" s="172"/>
      <c r="R530" s="172"/>
    </row>
    <row r="531" spans="1:18" ht="42.75" customHeight="1">
      <c r="A531" s="172"/>
      <c r="B531" s="285"/>
      <c r="C531" s="286"/>
      <c r="D531" s="287"/>
      <c r="E531" s="288"/>
      <c r="F531" s="287"/>
      <c r="G531" s="287"/>
      <c r="H531" s="287"/>
      <c r="I531" s="287"/>
      <c r="J531" s="287"/>
      <c r="K531" s="287"/>
      <c r="L531" s="287"/>
      <c r="M531" s="287"/>
      <c r="N531" s="287"/>
      <c r="O531" s="312"/>
      <c r="P531" s="312"/>
      <c r="Q531" s="312"/>
      <c r="R531" s="172"/>
    </row>
    <row r="532" spans="1:22" ht="37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18" ht="14.25" customHeight="1">
      <c r="A533" s="172"/>
      <c r="B533" s="172"/>
      <c r="C533" s="200" t="s">
        <v>371</v>
      </c>
      <c r="D533" s="200"/>
      <c r="E533" s="200"/>
      <c r="F533" s="200"/>
      <c r="G533" s="200"/>
      <c r="H533" s="200"/>
      <c r="I533" s="200"/>
      <c r="J533" s="200"/>
      <c r="K533" s="198" t="s">
        <v>372</v>
      </c>
      <c r="L533" s="198"/>
      <c r="M533" s="198"/>
      <c r="N533" s="198"/>
      <c r="O533" s="172"/>
      <c r="P533" s="172"/>
      <c r="Q533" s="172"/>
      <c r="R533" s="172"/>
    </row>
    <row r="534" spans="1:18" ht="18.75">
      <c r="A534" s="198"/>
      <c r="B534" s="232"/>
      <c r="C534" s="232"/>
      <c r="D534" s="232"/>
      <c r="E534" s="232"/>
      <c r="F534" s="232"/>
      <c r="G534" s="232"/>
      <c r="H534" s="232"/>
      <c r="I534" s="232"/>
      <c r="J534" s="232"/>
      <c r="K534" s="232"/>
      <c r="L534" s="232"/>
      <c r="M534" s="232"/>
      <c r="N534" s="198"/>
      <c r="O534" s="198"/>
      <c r="P534" s="198"/>
      <c r="Q534" s="198"/>
      <c r="R534" s="198"/>
    </row>
    <row r="535" spans="1:18" ht="15">
      <c r="A535" s="469"/>
      <c r="B535" s="469"/>
      <c r="C535" s="469"/>
      <c r="D535" s="469"/>
      <c r="E535" s="469"/>
      <c r="F535" s="469"/>
      <c r="G535" s="469"/>
      <c r="H535" s="469"/>
      <c r="I535" s="469"/>
      <c r="J535" s="469"/>
      <c r="K535" s="469"/>
      <c r="L535" s="469"/>
      <c r="M535" s="469"/>
      <c r="N535" s="469"/>
      <c r="O535" s="469"/>
      <c r="P535" s="469"/>
      <c r="Q535" s="469"/>
      <c r="R535" s="469"/>
    </row>
    <row r="536" spans="1:18" ht="15">
      <c r="A536" s="172"/>
      <c r="B536" s="418" t="s">
        <v>368</v>
      </c>
      <c r="C536" s="172"/>
      <c r="D536" s="172"/>
      <c r="E536" s="172"/>
      <c r="F536" s="172"/>
      <c r="G536" s="172"/>
      <c r="H536" s="172"/>
      <c r="I536" s="172"/>
      <c r="J536" s="172"/>
      <c r="K536" s="172"/>
      <c r="L536" s="172"/>
      <c r="M536" s="172"/>
      <c r="N536" s="172"/>
      <c r="O536" s="172"/>
      <c r="P536" s="172"/>
      <c r="Q536" s="172"/>
      <c r="R536" s="172"/>
    </row>
    <row r="537" spans="2:5" ht="15">
      <c r="B537" s="194">
        <v>42041</v>
      </c>
      <c r="E537" s="3"/>
    </row>
    <row r="538" spans="1:18" ht="15">
      <c r="A538" s="172"/>
      <c r="B538" s="290"/>
      <c r="C538" s="172"/>
      <c r="D538" s="172"/>
      <c r="E538" s="172"/>
      <c r="F538" s="172"/>
      <c r="G538" s="172"/>
      <c r="H538" s="172"/>
      <c r="I538" s="172"/>
      <c r="J538" s="172"/>
      <c r="K538" s="172"/>
      <c r="L538" s="172"/>
      <c r="M538" s="172"/>
      <c r="N538" s="172"/>
      <c r="O538" s="172"/>
      <c r="P538" s="172"/>
      <c r="Q538" s="172"/>
      <c r="R538" s="172"/>
    </row>
    <row r="539" spans="1:18" ht="15">
      <c r="A539" s="172"/>
      <c r="B539" s="172"/>
      <c r="C539" s="172"/>
      <c r="D539" s="172"/>
      <c r="E539" s="172"/>
      <c r="F539" s="172"/>
      <c r="G539" s="172"/>
      <c r="H539" s="172"/>
      <c r="I539" s="172"/>
      <c r="J539" s="172"/>
      <c r="K539" s="172"/>
      <c r="L539" s="172"/>
      <c r="M539" s="172"/>
      <c r="N539" s="172"/>
      <c r="O539" s="172"/>
      <c r="P539" s="172"/>
      <c r="Q539" s="172"/>
      <c r="R539" s="172"/>
    </row>
    <row r="540" ht="15">
      <c r="E540" s="3"/>
    </row>
    <row r="543" ht="15" hidden="1"/>
    <row r="544" ht="15" hidden="1"/>
    <row r="545" ht="15" hidden="1"/>
    <row r="546" ht="15" hidden="1"/>
    <row r="547" ht="15" hidden="1"/>
    <row r="548" ht="15" hidden="1"/>
    <row r="551" ht="14.25" customHeight="1"/>
    <row r="552" ht="15" hidden="1"/>
    <row r="553" ht="15" hidden="1"/>
    <row r="555" ht="0.75" customHeight="1"/>
    <row r="556" ht="20.25">
      <c r="G556" s="196"/>
    </row>
    <row r="557" spans="1:18" ht="15">
      <c r="A557" s="172"/>
      <c r="B557" s="172"/>
      <c r="C557" s="172"/>
      <c r="D557" s="172"/>
      <c r="E557" s="175"/>
      <c r="F557" s="172"/>
      <c r="G557" s="172"/>
      <c r="H557" s="172"/>
      <c r="I557" s="172"/>
      <c r="J557" s="172"/>
      <c r="K557" s="172"/>
      <c r="L557" s="172"/>
      <c r="M557" s="172"/>
      <c r="N557" s="172"/>
      <c r="O557" s="172"/>
      <c r="P557" s="172"/>
      <c r="Q557" s="172"/>
      <c r="R557" s="172"/>
    </row>
    <row r="558" spans="1:18" ht="15">
      <c r="A558" s="172"/>
      <c r="B558" s="172"/>
      <c r="C558" s="172"/>
      <c r="D558" s="172"/>
      <c r="E558" s="175"/>
      <c r="F558" s="172"/>
      <c r="G558" s="172"/>
      <c r="H558" s="172"/>
      <c r="I558" s="172"/>
      <c r="J558" s="172"/>
      <c r="K558" s="172" t="s">
        <v>144</v>
      </c>
      <c r="L558" s="172"/>
      <c r="M558" s="172"/>
      <c r="N558" s="172"/>
      <c r="O558" s="172"/>
      <c r="P558" s="172"/>
      <c r="Q558" s="172"/>
      <c r="R558" s="172"/>
    </row>
    <row r="559" spans="1:18" ht="15">
      <c r="A559" s="172"/>
      <c r="B559" s="172"/>
      <c r="C559" s="172"/>
      <c r="D559" s="172"/>
      <c r="E559" s="175"/>
      <c r="F559" s="172"/>
      <c r="G559" s="172"/>
      <c r="H559" s="172"/>
      <c r="I559" s="198"/>
      <c r="J559" s="198" t="s">
        <v>363</v>
      </c>
      <c r="K559" s="172"/>
      <c r="L559" s="172"/>
      <c r="M559" s="172"/>
      <c r="N559" s="172"/>
      <c r="O559" s="172"/>
      <c r="P559" s="172"/>
      <c r="Q559" s="172"/>
      <c r="R559" s="172"/>
    </row>
    <row r="560" spans="1:18" ht="15">
      <c r="A560" s="172"/>
      <c r="B560" s="172"/>
      <c r="C560" s="172"/>
      <c r="D560" s="172"/>
      <c r="E560" s="175"/>
      <c r="F560" s="172"/>
      <c r="G560" s="172"/>
      <c r="H560" s="172"/>
      <c r="I560" s="172"/>
      <c r="J560" s="172" t="s">
        <v>356</v>
      </c>
      <c r="K560" s="198"/>
      <c r="L560" s="198"/>
      <c r="M560" s="198"/>
      <c r="N560" s="198"/>
      <c r="O560" s="198"/>
      <c r="P560" s="198"/>
      <c r="Q560" s="198"/>
      <c r="R560" s="198"/>
    </row>
    <row r="561" spans="1:18" ht="16.5">
      <c r="A561" s="172"/>
      <c r="B561" s="459" t="s">
        <v>365</v>
      </c>
      <c r="C561" s="235"/>
      <c r="D561" s="172"/>
      <c r="E561" s="175"/>
      <c r="F561" s="172"/>
      <c r="G561" s="172"/>
      <c r="H561" s="172"/>
      <c r="I561" s="172"/>
      <c r="J561" s="172" t="s">
        <v>394</v>
      </c>
      <c r="K561" s="172"/>
      <c r="L561" s="172"/>
      <c r="M561" s="172"/>
      <c r="N561" s="172"/>
      <c r="O561" s="172"/>
      <c r="P561" s="172"/>
      <c r="Q561" s="172"/>
      <c r="R561" s="172"/>
    </row>
    <row r="562" spans="1:18" ht="48.75" customHeight="1">
      <c r="A562" s="172"/>
      <c r="B562" s="683" t="s">
        <v>298</v>
      </c>
      <c r="C562" s="683"/>
      <c r="D562" s="683"/>
      <c r="E562" s="683"/>
      <c r="F562" s="683"/>
      <c r="G562" s="683"/>
      <c r="H562" s="172"/>
      <c r="I562" s="172"/>
      <c r="J562" s="172"/>
      <c r="K562" s="172"/>
      <c r="L562" s="172"/>
      <c r="M562" s="172"/>
      <c r="N562" s="172"/>
      <c r="O562" s="172"/>
      <c r="P562" s="172"/>
      <c r="Q562" s="172"/>
      <c r="R562" s="172"/>
    </row>
    <row r="563" spans="1:18" ht="15">
      <c r="A563" s="172"/>
      <c r="B563" s="172" t="s">
        <v>16</v>
      </c>
      <c r="C563" s="172"/>
      <c r="D563" s="172"/>
      <c r="E563" s="175"/>
      <c r="F563" s="172"/>
      <c r="G563" s="172"/>
      <c r="H563" s="172"/>
      <c r="I563" s="176"/>
      <c r="J563" s="176"/>
      <c r="K563" s="176"/>
      <c r="L563" s="176"/>
      <c r="M563" s="176"/>
      <c r="N563" s="176"/>
      <c r="O563" s="176"/>
      <c r="P563" s="176"/>
      <c r="Q563" s="176"/>
      <c r="R563" s="172"/>
    </row>
    <row r="564" spans="1:18" ht="15">
      <c r="A564" s="172"/>
      <c r="B564" s="172"/>
      <c r="C564" s="172"/>
      <c r="D564" s="172"/>
      <c r="E564" s="175"/>
      <c r="F564" s="172"/>
      <c r="G564" s="172"/>
      <c r="H564" s="172"/>
      <c r="I564" s="176"/>
      <c r="J564" s="176"/>
      <c r="K564" s="176"/>
      <c r="L564" s="176"/>
      <c r="M564" s="176"/>
      <c r="N564" s="176"/>
      <c r="O564" s="176"/>
      <c r="P564" s="176"/>
      <c r="Q564" s="176"/>
      <c r="R564" s="172"/>
    </row>
    <row r="565" spans="1:18" ht="15">
      <c r="A565" s="172"/>
      <c r="B565" s="172"/>
      <c r="C565" s="172"/>
      <c r="D565" s="172"/>
      <c r="E565" s="175"/>
      <c r="F565" s="172"/>
      <c r="G565" s="172"/>
      <c r="H565" s="172"/>
      <c r="I565" s="176"/>
      <c r="J565" s="176"/>
      <c r="K565" s="176"/>
      <c r="L565" s="176"/>
      <c r="M565" s="176"/>
      <c r="N565" s="176"/>
      <c r="O565" s="176"/>
      <c r="P565" s="176"/>
      <c r="Q565" s="176"/>
      <c r="R565" s="172"/>
    </row>
    <row r="566" spans="1:18" ht="15">
      <c r="A566" s="172"/>
      <c r="B566" s="172"/>
      <c r="C566" s="172"/>
      <c r="D566" s="172"/>
      <c r="E566" s="175"/>
      <c r="F566" s="172"/>
      <c r="G566" s="172"/>
      <c r="H566" s="172"/>
      <c r="I566" s="172"/>
      <c r="J566" s="172"/>
      <c r="K566" s="172"/>
      <c r="L566" s="172"/>
      <c r="M566" s="172"/>
      <c r="N566" s="172"/>
      <c r="O566" s="172"/>
      <c r="P566" s="172"/>
      <c r="Q566" s="172"/>
      <c r="R566" s="172"/>
    </row>
    <row r="567" spans="1:18" ht="12.75" customHeight="1">
      <c r="A567" s="654" t="s">
        <v>1</v>
      </c>
      <c r="B567" s="236" t="s">
        <v>2</v>
      </c>
      <c r="C567" s="237" t="s">
        <v>4</v>
      </c>
      <c r="D567" s="504" t="s">
        <v>321</v>
      </c>
      <c r="E567" s="504" t="s">
        <v>322</v>
      </c>
      <c r="F567" s="601" t="s">
        <v>7</v>
      </c>
      <c r="G567" s="562"/>
      <c r="H567" s="239"/>
      <c r="I567" s="239"/>
      <c r="J567" s="239"/>
      <c r="K567" s="239" t="s">
        <v>8</v>
      </c>
      <c r="L567" s="239"/>
      <c r="M567" s="239"/>
      <c r="N567" s="660" t="s">
        <v>235</v>
      </c>
      <c r="O567" s="236" t="s">
        <v>10</v>
      </c>
      <c r="P567" s="493" t="s">
        <v>339</v>
      </c>
      <c r="Q567" s="473" t="s">
        <v>340</v>
      </c>
      <c r="R567" s="237" t="s">
        <v>13</v>
      </c>
    </row>
    <row r="568" spans="1:18" ht="12.75" customHeight="1">
      <c r="A568" s="655"/>
      <c r="B568" s="242" t="s">
        <v>3</v>
      </c>
      <c r="C568" s="242" t="s">
        <v>5</v>
      </c>
      <c r="D568" s="504"/>
      <c r="E568" s="504"/>
      <c r="F568" s="663" t="s">
        <v>18</v>
      </c>
      <c r="G568" s="523" t="s">
        <v>389</v>
      </c>
      <c r="H568" s="668" t="s">
        <v>319</v>
      </c>
      <c r="I568" s="668"/>
      <c r="J568" s="523"/>
      <c r="K568" s="498" t="s">
        <v>195</v>
      </c>
      <c r="L568" s="557" t="s">
        <v>113</v>
      </c>
      <c r="M568" s="557" t="s">
        <v>114</v>
      </c>
      <c r="N568" s="661"/>
      <c r="O568" s="242" t="s">
        <v>11</v>
      </c>
      <c r="P568" s="494"/>
      <c r="Q568" s="474"/>
      <c r="R568" s="243" t="s">
        <v>11</v>
      </c>
    </row>
    <row r="569" spans="1:18" ht="15">
      <c r="A569" s="655"/>
      <c r="B569" s="242"/>
      <c r="C569" s="242" t="s">
        <v>6</v>
      </c>
      <c r="D569" s="504"/>
      <c r="E569" s="504"/>
      <c r="F569" s="664"/>
      <c r="G569" s="483"/>
      <c r="H569" s="558"/>
      <c r="I569" s="558"/>
      <c r="J569" s="483"/>
      <c r="K569" s="499"/>
      <c r="L569" s="558"/>
      <c r="M569" s="558"/>
      <c r="N569" s="661"/>
      <c r="O569" s="355" t="s">
        <v>12</v>
      </c>
      <c r="P569" s="494"/>
      <c r="Q569" s="474"/>
      <c r="R569" s="243" t="s">
        <v>14</v>
      </c>
    </row>
    <row r="570" spans="1:18" ht="15">
      <c r="A570" s="241"/>
      <c r="B570" s="242"/>
      <c r="C570" s="242"/>
      <c r="D570" s="504"/>
      <c r="E570" s="504"/>
      <c r="F570" s="664"/>
      <c r="G570" s="483"/>
      <c r="H570" s="558"/>
      <c r="I570" s="558"/>
      <c r="J570" s="483"/>
      <c r="K570" s="499"/>
      <c r="L570" s="558"/>
      <c r="M570" s="558"/>
      <c r="N570" s="661"/>
      <c r="O570" s="355" t="s">
        <v>115</v>
      </c>
      <c r="P570" s="494"/>
      <c r="Q570" s="474"/>
      <c r="R570" s="243" t="s">
        <v>115</v>
      </c>
    </row>
    <row r="571" spans="1:18" ht="77.25" customHeight="1">
      <c r="A571" s="246"/>
      <c r="B571" s="248"/>
      <c r="C571" s="248"/>
      <c r="D571" s="504"/>
      <c r="E571" s="504"/>
      <c r="F571" s="665"/>
      <c r="G571" s="484"/>
      <c r="H571" s="559"/>
      <c r="I571" s="559"/>
      <c r="J571" s="484"/>
      <c r="K571" s="500"/>
      <c r="L571" s="559"/>
      <c r="M571" s="559"/>
      <c r="N571" s="662"/>
      <c r="O571" s="247"/>
      <c r="P571" s="495"/>
      <c r="Q571" s="475"/>
      <c r="R571" s="251"/>
    </row>
    <row r="572" spans="1:19" ht="27" customHeight="1">
      <c r="A572" s="266">
        <v>1</v>
      </c>
      <c r="B572" s="251" t="s">
        <v>152</v>
      </c>
      <c r="C572" s="234">
        <v>1</v>
      </c>
      <c r="D572" s="278">
        <v>4128</v>
      </c>
      <c r="E572" s="302">
        <v>15</v>
      </c>
      <c r="F572" s="233">
        <f>D572*20%</f>
        <v>825.6</v>
      </c>
      <c r="G572" s="233">
        <f>D572*5%</f>
        <v>206.4</v>
      </c>
      <c r="H572" s="274"/>
      <c r="I572" s="233"/>
      <c r="J572" s="233"/>
      <c r="K572" s="233"/>
      <c r="L572" s="233"/>
      <c r="M572" s="233"/>
      <c r="N572" s="233"/>
      <c r="O572" s="234">
        <f>D572*C572+F572+G572+H572+I572+K572+L572+M572+N572+J572</f>
        <v>5160</v>
      </c>
      <c r="P572" s="234"/>
      <c r="Q572" s="234">
        <f>O572+P572</f>
        <v>5160</v>
      </c>
      <c r="R572" s="234">
        <f>O572*12</f>
        <v>61920</v>
      </c>
      <c r="S572" s="3">
        <f>D572+D574*C574+D575+D576+D589</f>
        <v>15064.8</v>
      </c>
    </row>
    <row r="573" spans="1:18" ht="15" customHeight="1" hidden="1">
      <c r="A573" s="174">
        <v>2</v>
      </c>
      <c r="B573" s="162"/>
      <c r="C573" s="84"/>
      <c r="D573" s="272"/>
      <c r="E573" s="315"/>
      <c r="F573" s="274"/>
      <c r="G573" s="233">
        <f>D573*20%</f>
        <v>0</v>
      </c>
      <c r="H573" s="277"/>
      <c r="I573" s="84"/>
      <c r="J573" s="233"/>
      <c r="K573" s="84"/>
      <c r="L573" s="84"/>
      <c r="M573" s="84"/>
      <c r="N573" s="84"/>
      <c r="O573" s="234">
        <f aca="true" t="shared" si="47" ref="O573:O592">D573*C573+F573+G573+H573+I573+K573+L573+M573+N573+J573</f>
        <v>0</v>
      </c>
      <c r="P573" s="234"/>
      <c r="Q573" s="234">
        <f aca="true" t="shared" si="48" ref="Q573:Q592">O573+P573</f>
        <v>0</v>
      </c>
      <c r="R573" s="234"/>
    </row>
    <row r="574" spans="1:18" ht="54.75" customHeight="1">
      <c r="A574" s="174">
        <v>2</v>
      </c>
      <c r="B574" s="280" t="s">
        <v>128</v>
      </c>
      <c r="C574" s="84">
        <v>0.5</v>
      </c>
      <c r="D574" s="226">
        <f>D572*95%</f>
        <v>3921.6</v>
      </c>
      <c r="E574" s="299" t="s">
        <v>338</v>
      </c>
      <c r="F574" s="233">
        <f>D574*C574*30%</f>
        <v>588.24</v>
      </c>
      <c r="G574" s="233">
        <f>D574*5%</f>
        <v>196.08</v>
      </c>
      <c r="H574" s="277"/>
      <c r="I574" s="84"/>
      <c r="J574" s="233"/>
      <c r="K574" s="84"/>
      <c r="L574" s="84"/>
      <c r="M574" s="84"/>
      <c r="N574" s="84"/>
      <c r="O574" s="234">
        <f t="shared" si="47"/>
        <v>2745.12</v>
      </c>
      <c r="P574" s="412"/>
      <c r="Q574" s="234">
        <f t="shared" si="48"/>
        <v>2745.12</v>
      </c>
      <c r="R574" s="234">
        <f>O574*12</f>
        <v>32941.44</v>
      </c>
    </row>
    <row r="575" spans="1:18" ht="15">
      <c r="A575" s="174">
        <v>3</v>
      </c>
      <c r="B575" s="162" t="s">
        <v>21</v>
      </c>
      <c r="C575" s="84">
        <v>1</v>
      </c>
      <c r="D575" s="278">
        <v>2912</v>
      </c>
      <c r="E575" s="302">
        <v>10</v>
      </c>
      <c r="F575" s="233"/>
      <c r="G575" s="233">
        <f>D575*5%</f>
        <v>145.6</v>
      </c>
      <c r="H575" s="277"/>
      <c r="I575" s="84"/>
      <c r="J575" s="233"/>
      <c r="K575" s="84"/>
      <c r="L575" s="84"/>
      <c r="M575" s="84"/>
      <c r="N575" s="84"/>
      <c r="O575" s="234">
        <f t="shared" si="47"/>
        <v>3057.6</v>
      </c>
      <c r="P575" s="412"/>
      <c r="Q575" s="234">
        <f t="shared" si="48"/>
        <v>3057.6</v>
      </c>
      <c r="R575" s="234">
        <f aca="true" t="shared" si="49" ref="R575:R592">O575*12</f>
        <v>36691.2</v>
      </c>
    </row>
    <row r="576" spans="1:18" ht="19.5" customHeight="1">
      <c r="A576" s="174">
        <v>4</v>
      </c>
      <c r="B576" s="162" t="s">
        <v>32</v>
      </c>
      <c r="C576" s="84">
        <v>1</v>
      </c>
      <c r="D576" s="278">
        <v>3152</v>
      </c>
      <c r="E576" s="302">
        <v>11</v>
      </c>
      <c r="F576" s="233">
        <f>D576*C576*20%</f>
        <v>630.4000000000001</v>
      </c>
      <c r="G576" s="233">
        <f>D576*5%</f>
        <v>157.60000000000002</v>
      </c>
      <c r="H576" s="277"/>
      <c r="I576" s="84"/>
      <c r="J576" s="233"/>
      <c r="K576" s="84"/>
      <c r="L576" s="84"/>
      <c r="M576" s="84"/>
      <c r="N576" s="84"/>
      <c r="O576" s="234">
        <f t="shared" si="47"/>
        <v>3940</v>
      </c>
      <c r="P576" s="412"/>
      <c r="Q576" s="234">
        <f t="shared" si="48"/>
        <v>3940</v>
      </c>
      <c r="R576" s="234">
        <f t="shared" si="49"/>
        <v>47280</v>
      </c>
    </row>
    <row r="577" spans="1:19" ht="19.5" customHeight="1">
      <c r="A577" s="174">
        <v>5</v>
      </c>
      <c r="B577" s="162" t="s">
        <v>361</v>
      </c>
      <c r="C577" s="84">
        <v>0.5</v>
      </c>
      <c r="D577" s="278">
        <v>2624</v>
      </c>
      <c r="E577" s="302">
        <v>8</v>
      </c>
      <c r="F577" s="233"/>
      <c r="G577" s="84"/>
      <c r="H577" s="84">
        <f>D577*10%*C577</f>
        <v>131.20000000000002</v>
      </c>
      <c r="I577" s="84"/>
      <c r="J577" s="84"/>
      <c r="K577" s="84"/>
      <c r="L577" s="84"/>
      <c r="M577" s="84"/>
      <c r="N577" s="84"/>
      <c r="O577" s="234">
        <f t="shared" si="47"/>
        <v>1443.2</v>
      </c>
      <c r="P577" s="412">
        <f aca="true" t="shared" si="50" ref="P577:P592">3200*C577-(O577-N577-M577-L577)</f>
        <v>156.79999999999995</v>
      </c>
      <c r="Q577" s="234">
        <f t="shared" si="48"/>
        <v>1600</v>
      </c>
      <c r="R577" s="234">
        <f t="shared" si="49"/>
        <v>17318.4</v>
      </c>
      <c r="S577" s="3">
        <f>D577*C577+H577+D578+D579+N579+D581+D582*C582+D583+D584*C584+D585*C585+D586*C586+N586+D587+N587+D588*C588+D590+D591*C591+D592*C592</f>
        <v>35283.2</v>
      </c>
    </row>
    <row r="578" spans="1:19" ht="28.5">
      <c r="A578" s="174">
        <v>6</v>
      </c>
      <c r="B578" s="281" t="s">
        <v>153</v>
      </c>
      <c r="C578" s="84">
        <v>1</v>
      </c>
      <c r="D578" s="278">
        <v>2624</v>
      </c>
      <c r="E578" s="302">
        <v>8</v>
      </c>
      <c r="F578" s="84"/>
      <c r="G578" s="84"/>
      <c r="H578" s="84"/>
      <c r="I578" s="84"/>
      <c r="J578" s="84"/>
      <c r="K578" s="84"/>
      <c r="L578" s="84"/>
      <c r="M578" s="84"/>
      <c r="N578" s="84"/>
      <c r="O578" s="234">
        <f t="shared" si="47"/>
        <v>2624</v>
      </c>
      <c r="P578" s="412">
        <f t="shared" si="50"/>
        <v>576</v>
      </c>
      <c r="Q578" s="234">
        <f t="shared" si="48"/>
        <v>3200</v>
      </c>
      <c r="R578" s="234">
        <f t="shared" si="49"/>
        <v>31488</v>
      </c>
      <c r="S578" s="16"/>
    </row>
    <row r="579" spans="1:19" ht="15">
      <c r="A579" s="174">
        <v>7</v>
      </c>
      <c r="B579" s="281" t="s">
        <v>221</v>
      </c>
      <c r="C579" s="84">
        <v>1</v>
      </c>
      <c r="D579" s="278">
        <v>2320</v>
      </c>
      <c r="E579" s="302">
        <v>6</v>
      </c>
      <c r="F579" s="84">
        <f>D579*C579*10%</f>
        <v>232</v>
      </c>
      <c r="G579" s="84"/>
      <c r="H579" s="84"/>
      <c r="I579" s="84"/>
      <c r="J579" s="84"/>
      <c r="K579" s="84"/>
      <c r="L579" s="84"/>
      <c r="M579" s="84"/>
      <c r="N579" s="84">
        <f>D579*7%</f>
        <v>162.4</v>
      </c>
      <c r="O579" s="234">
        <f t="shared" si="47"/>
        <v>2714.4</v>
      </c>
      <c r="P579" s="412">
        <f t="shared" si="50"/>
        <v>648</v>
      </c>
      <c r="Q579" s="234">
        <f t="shared" si="48"/>
        <v>3362.4</v>
      </c>
      <c r="R579" s="234">
        <f t="shared" si="49"/>
        <v>32572.800000000003</v>
      </c>
      <c r="S579" s="16"/>
    </row>
    <row r="580" spans="1:18" ht="20.25" customHeight="1" hidden="1">
      <c r="A580" s="174">
        <v>8</v>
      </c>
      <c r="B580" s="162" t="s">
        <v>179</v>
      </c>
      <c r="C580" s="84"/>
      <c r="D580" s="278"/>
      <c r="E580" s="302">
        <v>9</v>
      </c>
      <c r="F580" s="84"/>
      <c r="G580" s="84"/>
      <c r="H580" s="84"/>
      <c r="I580" s="84"/>
      <c r="J580" s="84"/>
      <c r="K580" s="84"/>
      <c r="L580" s="84"/>
      <c r="M580" s="84"/>
      <c r="N580" s="84"/>
      <c r="O580" s="234">
        <f t="shared" si="47"/>
        <v>0</v>
      </c>
      <c r="P580" s="412">
        <f t="shared" si="50"/>
        <v>0</v>
      </c>
      <c r="Q580" s="234">
        <f t="shared" si="48"/>
        <v>0</v>
      </c>
      <c r="R580" s="234">
        <f t="shared" si="49"/>
        <v>0</v>
      </c>
    </row>
    <row r="581" spans="1:18" ht="20.25" customHeight="1">
      <c r="A581" s="174">
        <v>8</v>
      </c>
      <c r="B581" s="279" t="s">
        <v>196</v>
      </c>
      <c r="C581" s="84">
        <v>1</v>
      </c>
      <c r="D581" s="278">
        <v>1600</v>
      </c>
      <c r="E581" s="302">
        <v>1</v>
      </c>
      <c r="F581" s="84"/>
      <c r="G581" s="84"/>
      <c r="H581" s="84"/>
      <c r="I581" s="84"/>
      <c r="J581" s="84"/>
      <c r="K581" s="84">
        <f>D581*C581*12%</f>
        <v>192</v>
      </c>
      <c r="L581" s="84"/>
      <c r="M581" s="84">
        <f>D581*40%*C581</f>
        <v>640</v>
      </c>
      <c r="N581" s="283"/>
      <c r="O581" s="234">
        <f t="shared" si="47"/>
        <v>2432</v>
      </c>
      <c r="P581" s="412">
        <f t="shared" si="50"/>
        <v>1408</v>
      </c>
      <c r="Q581" s="234">
        <f t="shared" si="48"/>
        <v>3840</v>
      </c>
      <c r="R581" s="234">
        <f t="shared" si="49"/>
        <v>29184</v>
      </c>
    </row>
    <row r="582" spans="1:18" ht="20.25" customHeight="1">
      <c r="A582" s="174">
        <v>9</v>
      </c>
      <c r="B582" s="279" t="s">
        <v>254</v>
      </c>
      <c r="C582" s="84">
        <v>3</v>
      </c>
      <c r="D582" s="278">
        <v>1600</v>
      </c>
      <c r="E582" s="302">
        <v>1</v>
      </c>
      <c r="F582" s="84"/>
      <c r="G582" s="84"/>
      <c r="H582" s="84"/>
      <c r="I582" s="84"/>
      <c r="J582" s="84"/>
      <c r="K582" s="84">
        <f>D582*C582*12%</f>
        <v>576</v>
      </c>
      <c r="L582" s="84"/>
      <c r="M582" s="84">
        <f>D582*40%*C582</f>
        <v>1920</v>
      </c>
      <c r="N582" s="283"/>
      <c r="O582" s="234">
        <f t="shared" si="47"/>
        <v>7296</v>
      </c>
      <c r="P582" s="412">
        <f t="shared" si="50"/>
        <v>4224</v>
      </c>
      <c r="Q582" s="234">
        <f t="shared" si="48"/>
        <v>11520</v>
      </c>
      <c r="R582" s="234">
        <f>O582*6</f>
        <v>43776</v>
      </c>
    </row>
    <row r="583" spans="1:18" ht="42.75">
      <c r="A583" s="174">
        <v>10</v>
      </c>
      <c r="B583" s="280" t="s">
        <v>182</v>
      </c>
      <c r="C583" s="84">
        <v>1</v>
      </c>
      <c r="D583" s="278">
        <v>2032</v>
      </c>
      <c r="E583" s="302">
        <v>4</v>
      </c>
      <c r="F583" s="84"/>
      <c r="G583" s="84"/>
      <c r="H583" s="84"/>
      <c r="I583" s="84"/>
      <c r="J583" s="84"/>
      <c r="K583" s="84"/>
      <c r="L583" s="84"/>
      <c r="M583" s="84"/>
      <c r="N583" s="84"/>
      <c r="O583" s="234">
        <f t="shared" si="47"/>
        <v>2032</v>
      </c>
      <c r="P583" s="412">
        <f t="shared" si="50"/>
        <v>1168</v>
      </c>
      <c r="Q583" s="234">
        <f t="shared" si="48"/>
        <v>3200</v>
      </c>
      <c r="R583" s="234">
        <f t="shared" si="49"/>
        <v>24384</v>
      </c>
    </row>
    <row r="584" spans="1:18" ht="27.75" customHeight="1">
      <c r="A584" s="174">
        <v>11</v>
      </c>
      <c r="B584" s="162" t="s">
        <v>27</v>
      </c>
      <c r="C584" s="84">
        <v>2.75</v>
      </c>
      <c r="D584" s="278">
        <v>1744</v>
      </c>
      <c r="E584" s="302">
        <v>2</v>
      </c>
      <c r="F584" s="84"/>
      <c r="G584" s="84"/>
      <c r="H584" s="84"/>
      <c r="I584" s="84"/>
      <c r="J584" s="84"/>
      <c r="K584" s="84"/>
      <c r="L584" s="84"/>
      <c r="M584" s="84">
        <f>D584*40%*C584</f>
        <v>1918.4</v>
      </c>
      <c r="N584" s="84"/>
      <c r="O584" s="234">
        <f t="shared" si="47"/>
        <v>6714.4</v>
      </c>
      <c r="P584" s="412">
        <f t="shared" si="50"/>
        <v>4004</v>
      </c>
      <c r="Q584" s="234">
        <f t="shared" si="48"/>
        <v>10718.4</v>
      </c>
      <c r="R584" s="234">
        <f t="shared" si="49"/>
        <v>80572.79999999999</v>
      </c>
    </row>
    <row r="585" spans="1:18" ht="28.5">
      <c r="A585" s="174">
        <v>12</v>
      </c>
      <c r="B585" s="281" t="s">
        <v>193</v>
      </c>
      <c r="C585" s="84">
        <v>3</v>
      </c>
      <c r="D585" s="278">
        <v>1744</v>
      </c>
      <c r="E585" s="302">
        <v>2</v>
      </c>
      <c r="F585" s="84"/>
      <c r="G585" s="84"/>
      <c r="H585" s="84"/>
      <c r="I585" s="84"/>
      <c r="J585" s="84"/>
      <c r="K585" s="84"/>
      <c r="L585" s="84">
        <f>D585*C585*10%</f>
        <v>523.2</v>
      </c>
      <c r="M585" s="84"/>
      <c r="N585" s="84"/>
      <c r="O585" s="234">
        <f t="shared" si="47"/>
        <v>5755.2</v>
      </c>
      <c r="P585" s="412">
        <f t="shared" si="50"/>
        <v>4368</v>
      </c>
      <c r="Q585" s="234">
        <f t="shared" si="48"/>
        <v>10123.2</v>
      </c>
      <c r="R585" s="234">
        <f t="shared" si="49"/>
        <v>69062.4</v>
      </c>
    </row>
    <row r="586" spans="1:18" ht="21" customHeight="1">
      <c r="A586" s="174">
        <v>13</v>
      </c>
      <c r="B586" s="162" t="s">
        <v>25</v>
      </c>
      <c r="C586" s="84">
        <v>1.5</v>
      </c>
      <c r="D586" s="278">
        <v>2176</v>
      </c>
      <c r="E586" s="302">
        <v>5</v>
      </c>
      <c r="F586" s="84"/>
      <c r="G586" s="84"/>
      <c r="H586" s="84"/>
      <c r="I586" s="84"/>
      <c r="J586" s="84"/>
      <c r="K586" s="84">
        <f>D586*C586*12%</f>
        <v>391.68</v>
      </c>
      <c r="L586" s="84"/>
      <c r="M586" s="84"/>
      <c r="N586" s="283">
        <f>D586*C586*15%</f>
        <v>489.59999999999997</v>
      </c>
      <c r="O586" s="234">
        <f t="shared" si="47"/>
        <v>4145.28</v>
      </c>
      <c r="P586" s="412">
        <f t="shared" si="50"/>
        <v>1144.3200000000002</v>
      </c>
      <c r="Q586" s="234">
        <f t="shared" si="48"/>
        <v>5289.6</v>
      </c>
      <c r="R586" s="234">
        <f t="shared" si="49"/>
        <v>49743.36</v>
      </c>
    </row>
    <row r="587" spans="1:23" ht="21" customHeight="1">
      <c r="A587" s="174">
        <v>14</v>
      </c>
      <c r="B587" s="162" t="s">
        <v>151</v>
      </c>
      <c r="C587" s="84">
        <v>1</v>
      </c>
      <c r="D587" s="278">
        <v>1600</v>
      </c>
      <c r="E587" s="302">
        <v>1</v>
      </c>
      <c r="F587" s="84"/>
      <c r="G587" s="84"/>
      <c r="H587" s="84"/>
      <c r="I587" s="84"/>
      <c r="J587" s="84"/>
      <c r="K587" s="84">
        <f>D587*C587*12%</f>
        <v>192</v>
      </c>
      <c r="L587" s="84"/>
      <c r="M587" s="84"/>
      <c r="N587" s="283">
        <f>D587*C587*15%</f>
        <v>240</v>
      </c>
      <c r="O587" s="234">
        <f t="shared" si="47"/>
        <v>2032</v>
      </c>
      <c r="P587" s="412">
        <f t="shared" si="50"/>
        <v>1408</v>
      </c>
      <c r="Q587" s="234">
        <f t="shared" si="48"/>
        <v>3440</v>
      </c>
      <c r="R587" s="234">
        <f t="shared" si="49"/>
        <v>24384</v>
      </c>
      <c r="W587" s="3">
        <f>D578+D579+D580*C580+D581*C581+D583+D584*C584+D585*C585+D586*C586+D587+D588*C588+D590</f>
        <v>26876</v>
      </c>
    </row>
    <row r="588" spans="1:18" ht="21" customHeight="1">
      <c r="A588" s="174">
        <v>15</v>
      </c>
      <c r="B588" s="162" t="s">
        <v>23</v>
      </c>
      <c r="C588" s="84">
        <v>0.5</v>
      </c>
      <c r="D588" s="278">
        <v>2176</v>
      </c>
      <c r="E588" s="302">
        <v>5</v>
      </c>
      <c r="F588" s="84"/>
      <c r="G588" s="84"/>
      <c r="H588" s="84"/>
      <c r="I588" s="84"/>
      <c r="J588" s="84"/>
      <c r="K588" s="84"/>
      <c r="L588" s="84"/>
      <c r="M588" s="84"/>
      <c r="N588" s="283"/>
      <c r="O588" s="234">
        <f t="shared" si="47"/>
        <v>1088</v>
      </c>
      <c r="P588" s="412">
        <f t="shared" si="50"/>
        <v>512</v>
      </c>
      <c r="Q588" s="234">
        <f t="shared" si="48"/>
        <v>1600</v>
      </c>
      <c r="R588" s="234">
        <f t="shared" si="49"/>
        <v>13056</v>
      </c>
    </row>
    <row r="589" spans="1:18" ht="21" customHeight="1">
      <c r="A589" s="174">
        <v>16</v>
      </c>
      <c r="B589" s="162" t="s">
        <v>22</v>
      </c>
      <c r="C589" s="84">
        <v>1</v>
      </c>
      <c r="D589" s="300">
        <v>2912</v>
      </c>
      <c r="E589" s="302">
        <v>10</v>
      </c>
      <c r="F589" s="84">
        <f>D589*10%</f>
        <v>291.2</v>
      </c>
      <c r="G589" s="84">
        <f>D589*5%</f>
        <v>145.6</v>
      </c>
      <c r="H589" s="84"/>
      <c r="I589" s="84"/>
      <c r="J589" s="84"/>
      <c r="K589" s="84"/>
      <c r="L589" s="84"/>
      <c r="M589" s="84"/>
      <c r="N589" s="283"/>
      <c r="O589" s="234">
        <f t="shared" si="47"/>
        <v>3348.7999999999997</v>
      </c>
      <c r="P589" s="412"/>
      <c r="Q589" s="234">
        <f t="shared" si="48"/>
        <v>3348.7999999999997</v>
      </c>
      <c r="R589" s="234">
        <f t="shared" si="49"/>
        <v>40185.6</v>
      </c>
    </row>
    <row r="590" spans="1:18" ht="21" customHeight="1">
      <c r="A590" s="174">
        <v>17</v>
      </c>
      <c r="B590" s="162" t="s">
        <v>28</v>
      </c>
      <c r="C590" s="84">
        <v>1</v>
      </c>
      <c r="D590" s="278">
        <v>2320</v>
      </c>
      <c r="E590" s="302">
        <v>6</v>
      </c>
      <c r="F590" s="84"/>
      <c r="G590" s="84"/>
      <c r="H590" s="84"/>
      <c r="I590" s="84"/>
      <c r="J590" s="84"/>
      <c r="K590" s="84"/>
      <c r="L590" s="84"/>
      <c r="M590" s="84"/>
      <c r="N590" s="283"/>
      <c r="O590" s="234">
        <f t="shared" si="47"/>
        <v>2320</v>
      </c>
      <c r="P590" s="412">
        <f t="shared" si="50"/>
        <v>880</v>
      </c>
      <c r="Q590" s="234">
        <f t="shared" si="48"/>
        <v>3200</v>
      </c>
      <c r="R590" s="234">
        <f t="shared" si="49"/>
        <v>27840</v>
      </c>
    </row>
    <row r="591" spans="1:20" ht="17.25" customHeight="1">
      <c r="A591" s="174">
        <v>18</v>
      </c>
      <c r="B591" s="281" t="s">
        <v>31</v>
      </c>
      <c r="C591" s="351">
        <v>0.5</v>
      </c>
      <c r="D591" s="352">
        <v>1744</v>
      </c>
      <c r="E591" s="293">
        <v>2</v>
      </c>
      <c r="F591" s="84"/>
      <c r="G591" s="84"/>
      <c r="H591" s="84"/>
      <c r="I591" s="84"/>
      <c r="J591" s="84"/>
      <c r="K591" s="84"/>
      <c r="L591" s="84"/>
      <c r="M591" s="84"/>
      <c r="N591" s="283"/>
      <c r="O591" s="234">
        <f t="shared" si="47"/>
        <v>872</v>
      </c>
      <c r="P591" s="412">
        <f t="shared" si="50"/>
        <v>728</v>
      </c>
      <c r="Q591" s="234">
        <f t="shared" si="48"/>
        <v>1600</v>
      </c>
      <c r="R591" s="234">
        <f t="shared" si="49"/>
        <v>10464</v>
      </c>
      <c r="T591" s="172" t="s">
        <v>287</v>
      </c>
    </row>
    <row r="592" spans="1:20" ht="17.25" customHeight="1">
      <c r="A592" s="174">
        <v>19</v>
      </c>
      <c r="B592" s="281" t="s">
        <v>30</v>
      </c>
      <c r="C592" s="351">
        <v>0.25</v>
      </c>
      <c r="D592" s="278">
        <v>1600</v>
      </c>
      <c r="E592" s="302">
        <v>1</v>
      </c>
      <c r="F592" s="84"/>
      <c r="G592" s="84"/>
      <c r="H592" s="84"/>
      <c r="I592" s="84"/>
      <c r="J592" s="84"/>
      <c r="K592" s="84"/>
      <c r="L592" s="84"/>
      <c r="M592" s="84"/>
      <c r="N592" s="283"/>
      <c r="O592" s="234">
        <f t="shared" si="47"/>
        <v>400</v>
      </c>
      <c r="P592" s="412">
        <f t="shared" si="50"/>
        <v>400</v>
      </c>
      <c r="Q592" s="234">
        <f t="shared" si="48"/>
        <v>800</v>
      </c>
      <c r="R592" s="234">
        <f t="shared" si="49"/>
        <v>4800</v>
      </c>
      <c r="T592" s="172"/>
    </row>
    <row r="593" spans="1:23" ht="20.25" customHeight="1">
      <c r="A593" s="162"/>
      <c r="B593" s="162" t="s">
        <v>15</v>
      </c>
      <c r="C593" s="84">
        <f>SUM(C572:C592)</f>
        <v>22.5</v>
      </c>
      <c r="D593" s="296">
        <f>D572+D574*C574+D575+D576+D577*C577+D578+D581*C581+D583+D584*C584+D585*C585+D586+D587+D588*C588+D589+D590*C590+D579*C579+D580*C580+D591*C591+D582*C582</f>
        <v>47836.8</v>
      </c>
      <c r="E593" s="284"/>
      <c r="F593" s="84">
        <f>SUM(F572:F590)</f>
        <v>2567.44</v>
      </c>
      <c r="G593" s="84">
        <f aca="true" t="shared" si="51" ref="G593:N593">SUM(G572:G590)</f>
        <v>851.2800000000001</v>
      </c>
      <c r="H593" s="168">
        <f t="shared" si="51"/>
        <v>131.20000000000002</v>
      </c>
      <c r="I593" s="84">
        <f t="shared" si="51"/>
        <v>0</v>
      </c>
      <c r="J593" s="168">
        <f t="shared" si="51"/>
        <v>0</v>
      </c>
      <c r="K593" s="84">
        <f t="shared" si="51"/>
        <v>1351.68</v>
      </c>
      <c r="L593" s="84">
        <f t="shared" si="51"/>
        <v>523.2</v>
      </c>
      <c r="M593" s="84">
        <f t="shared" si="51"/>
        <v>4478.4</v>
      </c>
      <c r="N593" s="283">
        <f t="shared" si="51"/>
        <v>892</v>
      </c>
      <c r="O593" s="84">
        <f>SUM(O572:O591)+O592</f>
        <v>60120</v>
      </c>
      <c r="P593" s="84">
        <f>SUM(P572:P591)+P592</f>
        <v>21625.12</v>
      </c>
      <c r="Q593" s="84">
        <f>SUM(Q572:Q591)+Q592</f>
        <v>81745.12000000001</v>
      </c>
      <c r="R593" s="84">
        <f>SUM(R572:R588)+R589+R590</f>
        <v>662400</v>
      </c>
      <c r="T593" s="172">
        <v>2315.03</v>
      </c>
      <c r="W593" s="16">
        <f>O578+O580+O581+O582+O583+O584+O585+O586+O587+O588+O590+O591</f>
        <v>37310.880000000005</v>
      </c>
    </row>
    <row r="594" spans="1:18" ht="15">
      <c r="A594" s="172"/>
      <c r="B594" s="172"/>
      <c r="C594" s="172"/>
      <c r="D594" s="172"/>
      <c r="E594" s="175"/>
      <c r="F594" s="172"/>
      <c r="G594" s="172"/>
      <c r="H594" s="172"/>
      <c r="I594" s="172"/>
      <c r="J594" s="172"/>
      <c r="K594" s="172"/>
      <c r="L594" s="172"/>
      <c r="M594" s="172"/>
      <c r="N594" s="172"/>
      <c r="O594" s="172"/>
      <c r="P594" s="172"/>
      <c r="Q594" s="172"/>
      <c r="R594" s="172"/>
    </row>
    <row r="595" spans="1:20" ht="42.75" customHeight="1">
      <c r="A595" s="172"/>
      <c r="B595" s="285"/>
      <c r="C595" s="286"/>
      <c r="D595" s="287"/>
      <c r="E595" s="288"/>
      <c r="F595" s="287"/>
      <c r="G595" s="287"/>
      <c r="H595" s="287"/>
      <c r="I595" s="287"/>
      <c r="J595" s="287"/>
      <c r="K595" s="287"/>
      <c r="L595" s="287"/>
      <c r="M595" s="287"/>
      <c r="N595" s="287"/>
      <c r="O595" s="312"/>
      <c r="P595" s="312"/>
      <c r="Q595" s="312"/>
      <c r="R595" s="172"/>
      <c r="T595" s="172" t="s">
        <v>288</v>
      </c>
    </row>
    <row r="596" spans="1:20" ht="27.75" customHeight="1">
      <c r="A596" s="172"/>
      <c r="B596" s="172"/>
      <c r="C596" s="172"/>
      <c r="D596" s="172"/>
      <c r="E596" s="175"/>
      <c r="F596" s="172"/>
      <c r="G596" s="172"/>
      <c r="H596" s="172"/>
      <c r="I596" s="172"/>
      <c r="J596" s="172"/>
      <c r="K596" s="172"/>
      <c r="L596" s="172"/>
      <c r="M596" s="172"/>
      <c r="N596" s="172"/>
      <c r="O596" s="172"/>
      <c r="P596" s="172"/>
      <c r="Q596" s="172"/>
      <c r="R596" s="172"/>
      <c r="T596" s="172">
        <f>T593+T529+T462+T394+T321+T250+T159+T97+T38</f>
        <v>8737.84</v>
      </c>
    </row>
    <row r="597" spans="1:22" ht="37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18" ht="14.25" customHeight="1">
      <c r="A598" s="172"/>
      <c r="B598" s="172"/>
      <c r="C598" s="200" t="s">
        <v>371</v>
      </c>
      <c r="D598" s="200"/>
      <c r="E598" s="200"/>
      <c r="F598" s="200"/>
      <c r="G598" s="200"/>
      <c r="H598" s="200"/>
      <c r="I598" s="200"/>
      <c r="J598" s="200"/>
      <c r="K598" s="198" t="s">
        <v>372</v>
      </c>
      <c r="L598" s="198"/>
      <c r="M598" s="198"/>
      <c r="N598" s="198"/>
      <c r="O598" s="172"/>
      <c r="P598" s="172"/>
      <c r="Q598" s="172"/>
      <c r="R598" s="172"/>
    </row>
    <row r="599" spans="1:18" ht="18.75">
      <c r="A599" s="198"/>
      <c r="B599" s="232"/>
      <c r="C599" s="232"/>
      <c r="D599" s="232"/>
      <c r="E599" s="232"/>
      <c r="F599" s="232"/>
      <c r="G599" s="232"/>
      <c r="H599" s="232"/>
      <c r="I599" s="232"/>
      <c r="J599" s="232"/>
      <c r="K599" s="232"/>
      <c r="L599" s="232"/>
      <c r="M599" s="232"/>
      <c r="N599" s="198"/>
      <c r="O599" s="198"/>
      <c r="P599" s="198"/>
      <c r="Q599" s="198"/>
      <c r="R599" s="198"/>
    </row>
    <row r="600" spans="1:18" ht="15">
      <c r="A600" s="469"/>
      <c r="B600" s="469"/>
      <c r="C600" s="469"/>
      <c r="D600" s="469"/>
      <c r="E600" s="469"/>
      <c r="F600" s="469"/>
      <c r="G600" s="469"/>
      <c r="H600" s="469"/>
      <c r="I600" s="469"/>
      <c r="J600" s="469"/>
      <c r="K600" s="469"/>
      <c r="L600" s="469"/>
      <c r="M600" s="469"/>
      <c r="N600" s="469"/>
      <c r="O600" s="469"/>
      <c r="P600" s="469"/>
      <c r="Q600" s="469"/>
      <c r="R600" s="469"/>
    </row>
    <row r="601" spans="1:18" ht="15">
      <c r="A601" s="172"/>
      <c r="B601" s="418" t="s">
        <v>368</v>
      </c>
      <c r="C601" s="172"/>
      <c r="D601" s="172"/>
      <c r="E601" s="172"/>
      <c r="F601" s="172"/>
      <c r="G601" s="172"/>
      <c r="H601" s="172"/>
      <c r="I601" s="172"/>
      <c r="J601" s="172"/>
      <c r="K601" s="172"/>
      <c r="L601" s="172"/>
      <c r="M601" s="172"/>
      <c r="N601" s="172"/>
      <c r="O601" s="172"/>
      <c r="P601" s="172"/>
      <c r="Q601" s="172"/>
      <c r="R601" s="172"/>
    </row>
    <row r="602" spans="2:5" ht="15">
      <c r="B602" s="194">
        <v>42041</v>
      </c>
      <c r="E602" s="3"/>
    </row>
    <row r="603" spans="1:18" ht="15">
      <c r="A603" s="172"/>
      <c r="B603" s="290"/>
      <c r="C603" s="172"/>
      <c r="D603" s="172"/>
      <c r="E603" s="172"/>
      <c r="F603" s="172"/>
      <c r="G603" s="172"/>
      <c r="H603" s="172"/>
      <c r="I603" s="172"/>
      <c r="J603" s="172"/>
      <c r="K603" s="172"/>
      <c r="L603" s="172"/>
      <c r="M603" s="172"/>
      <c r="N603" s="172"/>
      <c r="O603" s="172"/>
      <c r="P603" s="172"/>
      <c r="Q603" s="172"/>
      <c r="R603" s="172"/>
    </row>
    <row r="604" spans="1:18" ht="15">
      <c r="A604" s="172"/>
      <c r="B604" s="172"/>
      <c r="C604" s="172"/>
      <c r="D604" s="172"/>
      <c r="E604" s="172"/>
      <c r="F604" s="172"/>
      <c r="G604" s="172"/>
      <c r="H604" s="172"/>
      <c r="I604" s="172"/>
      <c r="J604" s="172"/>
      <c r="K604" s="172"/>
      <c r="L604" s="172"/>
      <c r="M604" s="172"/>
      <c r="N604" s="172"/>
      <c r="O604" s="172"/>
      <c r="P604" s="172"/>
      <c r="Q604" s="172"/>
      <c r="R604" s="172"/>
    </row>
    <row r="605" spans="1:18" ht="15">
      <c r="A605" s="172"/>
      <c r="B605" s="172"/>
      <c r="C605" s="172"/>
      <c r="D605" s="172"/>
      <c r="E605" s="175"/>
      <c r="F605" s="172"/>
      <c r="G605" s="172"/>
      <c r="H605" s="172"/>
      <c r="I605" s="172"/>
      <c r="J605" s="172"/>
      <c r="K605" s="172"/>
      <c r="L605" s="172"/>
      <c r="M605" s="172"/>
      <c r="N605" s="172"/>
      <c r="O605" s="172"/>
      <c r="P605" s="172"/>
      <c r="Q605" s="172"/>
      <c r="R605" s="172"/>
    </row>
    <row r="606" ht="15" hidden="1"/>
    <row r="607" ht="15" hidden="1"/>
    <row r="608" ht="15" hidden="1"/>
    <row r="609" ht="15" hidden="1"/>
    <row r="610" ht="15" hidden="1"/>
    <row r="611" ht="15">
      <c r="E611" s="67" t="s">
        <v>158</v>
      </c>
    </row>
    <row r="612" spans="20:21" ht="15">
      <c r="T612" s="8" t="s">
        <v>186</v>
      </c>
      <c r="U612" s="59"/>
    </row>
    <row r="613" spans="20:21" ht="15">
      <c r="T613" s="70"/>
      <c r="U613" s="71"/>
    </row>
    <row r="614" ht="15" hidden="1"/>
    <row r="615" spans="5:21" ht="15.75" hidden="1">
      <c r="E615" s="703" t="s">
        <v>270</v>
      </c>
      <c r="F615" s="703"/>
      <c r="J615" s="31"/>
      <c r="K615" s="496" t="s">
        <v>271</v>
      </c>
      <c r="L615" s="497"/>
      <c r="M615" s="497"/>
      <c r="N615" s="497"/>
      <c r="O615" s="497"/>
      <c r="P615" s="497"/>
      <c r="Q615" s="497"/>
      <c r="R615" s="497"/>
      <c r="S615" s="497"/>
      <c r="T615" s="497"/>
      <c r="U615" s="517"/>
    </row>
    <row r="616" spans="5:21" ht="15.75" hidden="1">
      <c r="E616" s="31">
        <v>1</v>
      </c>
      <c r="F616" s="31" t="e">
        <f>#REF!+#REF!+#REF!+#REF!+#REF!+#REF!+C44+C50+C108+C113+C179+C186+C261+C268+C338+C345+C420+C427+C490+C497+C566+C573</f>
        <v>#REF!</v>
      </c>
      <c r="J616" s="31" t="s">
        <v>276</v>
      </c>
      <c r="K616" s="73" t="s">
        <v>108</v>
      </c>
      <c r="L616" s="73"/>
      <c r="M616" s="73"/>
      <c r="N616" s="73" t="s">
        <v>81</v>
      </c>
      <c r="O616" s="73"/>
      <c r="P616" s="73"/>
      <c r="Q616" s="73"/>
      <c r="R616" s="73"/>
      <c r="S616" s="73" t="s">
        <v>62</v>
      </c>
      <c r="T616" s="73" t="s">
        <v>82</v>
      </c>
      <c r="U616" s="73" t="s">
        <v>64</v>
      </c>
    </row>
    <row r="617" spans="2:21" ht="15.75" hidden="1">
      <c r="B617" s="3" t="s">
        <v>272</v>
      </c>
      <c r="E617" s="31">
        <v>2</v>
      </c>
      <c r="F617" s="31" t="e">
        <f>#REF!+#REF!+#REF!+#REF!+#REF!+#REF!+#REF!+#REF!+#REF!+#REF!+C45+C46+C47+C49+C51+C109+C110+C112+C114+C180+C181+C182+C184+C185+C262+C263+C264+C266+C267+C340+C341+C344+C421+C422+C423+C425+C426+C492+C493+C496+C568+C569+C572</f>
        <v>#REF!</v>
      </c>
      <c r="J617" s="161">
        <v>2</v>
      </c>
      <c r="K617" s="84">
        <f>'[3]ШКОЛИ та ін.'!$J$6</f>
        <v>29.72222222222222</v>
      </c>
      <c r="L617" s="162"/>
      <c r="M617" s="162"/>
      <c r="N617" s="84">
        <f>C16+C17+C19+C20+C21</f>
        <v>6</v>
      </c>
      <c r="O617" s="84"/>
      <c r="P617" s="84"/>
      <c r="Q617" s="84"/>
      <c r="R617" s="84"/>
      <c r="S617" s="84">
        <f>C22+C23+C24+C25+C26</f>
        <v>4</v>
      </c>
      <c r="T617" s="84">
        <f>C27+C28+C29+C30+C31+C33+C34+C35</f>
        <v>15.75</v>
      </c>
      <c r="U617" s="84">
        <f>SUM(K617:T617)</f>
        <v>55.47222222222222</v>
      </c>
    </row>
    <row r="618" spans="2:21" ht="15.75" hidden="1">
      <c r="B618" s="16" t="e">
        <f>N583+N504+N437+N349+N190+N117+N52+#REF!+#REF!</f>
        <v>#REF!</v>
      </c>
      <c r="E618" s="31">
        <v>3</v>
      </c>
      <c r="F618" s="31"/>
      <c r="J618" s="161" t="s">
        <v>277</v>
      </c>
      <c r="K618" s="84">
        <f>'[3]ШКОЛИ та ін.'!$J$7</f>
        <v>26.97222222222222</v>
      </c>
      <c r="L618" s="162"/>
      <c r="M618" s="162"/>
      <c r="N618" s="84">
        <f>C74+C76+C79+C80+C81</f>
        <v>7</v>
      </c>
      <c r="O618" s="84"/>
      <c r="P618" s="84"/>
      <c r="Q618" s="84"/>
      <c r="R618" s="84"/>
      <c r="S618" s="84">
        <f>C82+C83+C84+C85+C86</f>
        <v>4</v>
      </c>
      <c r="T618" s="84">
        <f>C87+C88+C89+C90+C91+C92+C94+C95+C96</f>
        <v>19.75</v>
      </c>
      <c r="U618" s="84">
        <f aca="true" t="shared" si="52" ref="U618:U625">SUM(K618:T618)</f>
        <v>57.72222222222222</v>
      </c>
    </row>
    <row r="619" spans="2:21" ht="15.75" hidden="1">
      <c r="B619" s="3" t="s">
        <v>273</v>
      </c>
      <c r="E619" s="31">
        <v>4</v>
      </c>
      <c r="F619" s="31" t="e">
        <f>#REF!+#REF!+#REF!+#REF!+#REF!+C48+C111+C178+C183+C260+C265+C342+C424+C494+C570</f>
        <v>#REF!</v>
      </c>
      <c r="J619" s="161">
        <v>4</v>
      </c>
      <c r="K619" s="84">
        <f>'[3]ШКОЛИ та ін.'!$J$8</f>
        <v>17.11111111111111</v>
      </c>
      <c r="L619" s="162"/>
      <c r="M619" s="162"/>
      <c r="N619" s="84">
        <f>C138+C139+C140+C141+C143+C144</f>
        <v>4.5</v>
      </c>
      <c r="O619" s="84"/>
      <c r="P619" s="84"/>
      <c r="Q619" s="84"/>
      <c r="R619" s="84"/>
      <c r="S619" s="84">
        <f>C145+C146+C147+C148+C157</f>
        <v>3</v>
      </c>
      <c r="T619" s="84">
        <f>C149+C150+C151+C152+C153+C154+C155</f>
        <v>14.5</v>
      </c>
      <c r="U619" s="84">
        <f t="shared" si="52"/>
        <v>39.111111111111114</v>
      </c>
    </row>
    <row r="620" spans="2:21" ht="15" hidden="1">
      <c r="B620" s="16" t="e">
        <f>#REF!+#REF!+L52+L117+L190+L349+L437+L504+L583</f>
        <v>#REF!</v>
      </c>
      <c r="E620" s="31">
        <v>5</v>
      </c>
      <c r="F620" s="31" t="e">
        <f>#REF!+C43+C107+C337+C419+C489+C565</f>
        <v>#REF!</v>
      </c>
      <c r="J620" s="169" t="s">
        <v>278</v>
      </c>
      <c r="K620" s="84">
        <f>'[3]ШКОЛИ та ін.'!$J$9+C234+C236+C237+C238+C239</f>
        <v>64.22222222222223</v>
      </c>
      <c r="L620" s="162"/>
      <c r="M620" s="162"/>
      <c r="N620" s="84">
        <f>C202+C204+C206+C207+C208+C210+C233</f>
        <v>10.25</v>
      </c>
      <c r="O620" s="84"/>
      <c r="P620" s="84"/>
      <c r="Q620" s="84"/>
      <c r="R620" s="84"/>
      <c r="S620" s="84">
        <f>C211+C212+C213+C215+C216+C235</f>
        <v>6.5</v>
      </c>
      <c r="T620" s="84">
        <f>C217+C218+C219+C220+C222+C224+C240+C241+C245+C249</f>
        <v>38.4</v>
      </c>
      <c r="U620" s="84">
        <f t="shared" si="52"/>
        <v>119.37222222222223</v>
      </c>
    </row>
    <row r="621" spans="2:21" ht="15.75" hidden="1">
      <c r="B621" s="3" t="s">
        <v>274</v>
      </c>
      <c r="E621" s="31">
        <v>6</v>
      </c>
      <c r="F621" s="31" t="e">
        <f>#REF!+#REF!+#REF!+#REF!+#REF!+#REF!+#REF!+#REF!+#REF!+#REF!+#REF!+C39+C40+C42+C93+C102+C103+C168+C173+C174+C251+C255+C256+C327+C332+C333+C408+C414+C415+C418+C480+C484+C485+C556+C560+C561</f>
        <v>#REF!</v>
      </c>
      <c r="J621" s="161">
        <v>6</v>
      </c>
      <c r="K621" s="84">
        <f>'[3]ШКОЛИ та ін.'!$J$10</f>
        <v>42.75</v>
      </c>
      <c r="L621" s="162"/>
      <c r="M621" s="162"/>
      <c r="N621" s="84">
        <f>C292+C294+C296+C302+C303+C304+C317</f>
        <v>14</v>
      </c>
      <c r="O621" s="84"/>
      <c r="P621" s="84"/>
      <c r="Q621" s="84"/>
      <c r="R621" s="84"/>
      <c r="S621" s="84">
        <f>C305+C306+C307+C308+C309</f>
        <v>4.5</v>
      </c>
      <c r="T621" s="84">
        <f>C310+C311+C312+C313+C315+C316+C318+C319</f>
        <v>20.75</v>
      </c>
      <c r="U621" s="84">
        <f t="shared" si="52"/>
        <v>82</v>
      </c>
    </row>
    <row r="622" spans="2:21" ht="16.5" hidden="1" thickBot="1">
      <c r="B622" s="16" t="e">
        <f>#REF!+#REF!+#REF!+K52+K117+K190+J190+K349+G349+K437+J437+K504+G504+K583+G583</f>
        <v>#REF!</v>
      </c>
      <c r="E622" s="9">
        <v>7</v>
      </c>
      <c r="F622" s="9" t="e">
        <f>#REF!+C27+C30+C89+C90+C94+C165+C241+C322+C323+C325+C397+C398+C475+C476+C552+C553</f>
        <v>#REF!</v>
      </c>
      <c r="J622" s="161">
        <v>8</v>
      </c>
      <c r="K622" s="84">
        <f>'[3]ШКОЛИ та ін.'!$J$11</f>
        <v>40.361111111111114</v>
      </c>
      <c r="L622" s="162"/>
      <c r="M622" s="162"/>
      <c r="N622" s="84">
        <f>C364+C366+C368+C369+C370+C371</f>
        <v>8.25</v>
      </c>
      <c r="O622" s="84"/>
      <c r="P622" s="84"/>
      <c r="Q622" s="84"/>
      <c r="R622" s="84"/>
      <c r="S622" s="84">
        <f>C372+C373+C374+C375+C376</f>
        <v>6</v>
      </c>
      <c r="T622" s="84">
        <f>C377+C378+C379+C380+C381+C382+C389+C391+C392</f>
        <v>18.25</v>
      </c>
      <c r="U622" s="84">
        <f t="shared" si="52"/>
        <v>72.86111111111111</v>
      </c>
    </row>
    <row r="623" spans="2:21" ht="15.75" hidden="1">
      <c r="B623" s="3" t="s">
        <v>64</v>
      </c>
      <c r="E623" s="163">
        <v>8</v>
      </c>
      <c r="F623" s="164" t="e">
        <f>#REF!+#REF!+#REF!+#REF!+C41+C104+C176+C258+C335+C413+C417+C487+C563</f>
        <v>#REF!</v>
      </c>
      <c r="G623" s="704">
        <v>176.5</v>
      </c>
      <c r="J623" s="161">
        <v>9</v>
      </c>
      <c r="K623" s="84">
        <f>'[3]ШКОЛИ та ін.'!$J$12</f>
        <v>42.416666666666664</v>
      </c>
      <c r="L623" s="162"/>
      <c r="M623" s="162"/>
      <c r="N623" s="84">
        <f>C432+C434+C436+C437+C438+C439+C441+C458+C459+C460+C461</f>
        <v>14.5</v>
      </c>
      <c r="O623" s="84"/>
      <c r="P623" s="84"/>
      <c r="Q623" s="84"/>
      <c r="R623" s="84"/>
      <c r="S623" s="84">
        <f>C440+C443+C444+C445+C446</f>
        <v>4.5</v>
      </c>
      <c r="T623" s="84">
        <f>C447+C448+C449+C450+C451+C453+C454+C455+C456+C457</f>
        <v>24.25</v>
      </c>
      <c r="U623" s="84">
        <f t="shared" si="52"/>
        <v>85.66666666666666</v>
      </c>
    </row>
    <row r="624" spans="2:21" ht="15.75" hidden="1">
      <c r="B624" s="16" t="e">
        <f>B618+B620+B622</f>
        <v>#REF!</v>
      </c>
      <c r="E624" s="165">
        <v>9</v>
      </c>
      <c r="F624" s="31" t="e">
        <f>#REF!+#REF!+#REF!+#REF!+#REF!+#REF!+C31+C36+C88+C91+C166+C249+C324+C407+C477</f>
        <v>#REF!</v>
      </c>
      <c r="G624" s="705"/>
      <c r="J624" s="161" t="s">
        <v>224</v>
      </c>
      <c r="K624" s="84">
        <f>'[3]ШКОЛИ та ін.'!$J$13</f>
        <v>14.277777777777779</v>
      </c>
      <c r="L624" s="162"/>
      <c r="M624" s="162"/>
      <c r="N624" s="84">
        <f>C507+C508+C510+C511+C524</f>
        <v>4.5</v>
      </c>
      <c r="O624" s="84"/>
      <c r="P624" s="84"/>
      <c r="Q624" s="84"/>
      <c r="R624" s="84"/>
      <c r="S624" s="84">
        <f>C513+C514+C515+C526+C509</f>
        <v>3</v>
      </c>
      <c r="T624" s="84">
        <f>C517+C518+C519+C520+C521+C522+C523+C525+C527</f>
        <v>14.75</v>
      </c>
      <c r="U624" s="84">
        <f t="shared" si="52"/>
        <v>36.52777777777778</v>
      </c>
    </row>
    <row r="625" spans="5:21" ht="15.75" hidden="1">
      <c r="E625" s="165">
        <v>10</v>
      </c>
      <c r="F625" s="31" t="e">
        <f>#REF!+#REF!+#REF!+#REF!+C29+C100+C101+C164+C240+C245+C250+C400+C405+C406+C551+C554+C555</f>
        <v>#REF!</v>
      </c>
      <c r="G625" s="705"/>
      <c r="J625" s="161" t="s">
        <v>279</v>
      </c>
      <c r="K625" s="84">
        <f>'[3]ШКОЛИ та ін.'!$J$14</f>
        <v>14.694444444444445</v>
      </c>
      <c r="L625" s="162"/>
      <c r="M625" s="162"/>
      <c r="N625" s="84">
        <f>C572+C574+C575+C576+C589</f>
        <v>4.5</v>
      </c>
      <c r="O625" s="84"/>
      <c r="P625" s="84"/>
      <c r="Q625" s="84"/>
      <c r="R625" s="84"/>
      <c r="S625" s="84">
        <f>C577+C578+C579+C580+C588</f>
        <v>3</v>
      </c>
      <c r="T625" s="84">
        <f>C581+C582+C583+C584+C585+C586+C587+C590+C591</f>
        <v>14.75</v>
      </c>
      <c r="U625" s="84">
        <f t="shared" si="52"/>
        <v>36.94444444444444</v>
      </c>
    </row>
    <row r="626" spans="5:21" ht="16.5" hidden="1" thickBot="1">
      <c r="E626" s="166">
        <v>11</v>
      </c>
      <c r="F626" s="167">
        <f>C167+C326+C399+C402+C404+C478+C479</f>
        <v>8.25</v>
      </c>
      <c r="G626" s="706"/>
      <c r="J626" s="161" t="s">
        <v>64</v>
      </c>
      <c r="K626" s="161">
        <f>SUM(K617:K625)</f>
        <v>292.52777777777777</v>
      </c>
      <c r="L626" s="161"/>
      <c r="M626" s="161">
        <f aca="true" t="shared" si="53" ref="M626:T626">SUM(M617:M625)</f>
        <v>0</v>
      </c>
      <c r="N626" s="170">
        <f t="shared" si="53"/>
        <v>73.5</v>
      </c>
      <c r="O626" s="170">
        <f t="shared" si="53"/>
        <v>0</v>
      </c>
      <c r="P626" s="170"/>
      <c r="Q626" s="170"/>
      <c r="R626" s="170">
        <f t="shared" si="53"/>
        <v>0</v>
      </c>
      <c r="S626" s="170">
        <f t="shared" si="53"/>
        <v>38.5</v>
      </c>
      <c r="T626" s="170">
        <f t="shared" si="53"/>
        <v>181.15</v>
      </c>
      <c r="U626" s="170">
        <f>SUM(K626:T626)</f>
        <v>585.6777777777778</v>
      </c>
    </row>
    <row r="627" spans="5:6" ht="15" hidden="1">
      <c r="E627" s="20">
        <v>12</v>
      </c>
      <c r="F627" s="20" t="e">
        <f>#REF!+C26+C163+C321+C396+C550</f>
        <v>#REF!</v>
      </c>
    </row>
    <row r="628" spans="5:10" ht="15" hidden="1">
      <c r="E628" s="31">
        <v>13</v>
      </c>
      <c r="F628" s="31">
        <f>C95</f>
        <v>1</v>
      </c>
      <c r="J628" s="64" t="s">
        <v>275</v>
      </c>
    </row>
    <row r="629" spans="5:10" ht="15" hidden="1">
      <c r="E629" s="31">
        <v>14</v>
      </c>
      <c r="F629" s="31" t="e">
        <f>#REF!+#REF!+C25+C87+C162+C239+C320+C395+C473+C549</f>
        <v>#REF!</v>
      </c>
      <c r="J629" s="65" t="e">
        <f>C583+C504+C437+C349+C190+C117+C52+#REF!+#REF!</f>
        <v>#VALUE!</v>
      </c>
    </row>
    <row r="630" spans="5:6" ht="15" hidden="1">
      <c r="E630" s="31">
        <v>15</v>
      </c>
      <c r="F630" s="31"/>
    </row>
    <row r="631" spans="5:6" ht="15" hidden="1">
      <c r="E631" s="31">
        <v>16</v>
      </c>
      <c r="F631" s="31"/>
    </row>
    <row r="632" spans="5:21" ht="18.75" hidden="1">
      <c r="E632" s="31" t="s">
        <v>64</v>
      </c>
      <c r="F632" s="31" t="e">
        <f>SUM(F616:F631)</f>
        <v>#REF!</v>
      </c>
      <c r="K632" s="666" t="s">
        <v>280</v>
      </c>
      <c r="L632" s="666"/>
      <c r="M632" s="666"/>
      <c r="N632" s="666"/>
      <c r="O632" s="666"/>
      <c r="P632" s="666"/>
      <c r="Q632" s="666"/>
      <c r="R632" s="666"/>
      <c r="S632" s="666"/>
      <c r="T632" s="666"/>
      <c r="U632" s="666"/>
    </row>
    <row r="633" spans="3:5" ht="15" hidden="1">
      <c r="C633" s="16"/>
      <c r="E633" s="3"/>
    </row>
    <row r="634" spans="5:21" ht="15" hidden="1">
      <c r="E634" s="3"/>
      <c r="J634" s="31"/>
      <c r="K634" s="31" t="s">
        <v>108</v>
      </c>
      <c r="L634" s="31"/>
      <c r="M634" s="31"/>
      <c r="N634" s="31" t="s">
        <v>81</v>
      </c>
      <c r="O634" s="31"/>
      <c r="P634" s="31"/>
      <c r="Q634" s="31"/>
      <c r="R634" s="31"/>
      <c r="S634" s="31" t="s">
        <v>62</v>
      </c>
      <c r="T634" s="31" t="s">
        <v>82</v>
      </c>
      <c r="U634" s="31" t="s">
        <v>64</v>
      </c>
    </row>
    <row r="635" spans="5:21" ht="15" hidden="1">
      <c r="E635" s="3"/>
      <c r="J635" s="31">
        <v>3</v>
      </c>
      <c r="K635" s="33">
        <f>T164+T165+T170+T171</f>
        <v>0</v>
      </c>
      <c r="L635" s="31"/>
      <c r="M635" s="31"/>
      <c r="N635" s="33">
        <f>T162+T163+T166+T167</f>
        <v>0</v>
      </c>
      <c r="O635" s="31"/>
      <c r="P635" s="31"/>
      <c r="Q635" s="31"/>
      <c r="R635" s="31"/>
      <c r="S635" s="33">
        <f>T168+T176</f>
        <v>0</v>
      </c>
      <c r="T635" s="33">
        <f>T173+T174+T178+T179+T180+T181+T182+T183+T184+T185+T186</f>
        <v>0</v>
      </c>
      <c r="U635" s="84">
        <f aca="true" t="shared" si="54" ref="U635:U643">K635+L635+N635+S635+T635</f>
        <v>0</v>
      </c>
    </row>
    <row r="636" spans="5:21" ht="15" hidden="1">
      <c r="E636" s="3"/>
      <c r="J636" s="31">
        <v>5</v>
      </c>
      <c r="K636" s="33" t="e">
        <f>#REF!+#REF!+#REF!+#REF!</f>
        <v>#REF!</v>
      </c>
      <c r="L636" s="31"/>
      <c r="M636" s="31"/>
      <c r="N636" s="33" t="e">
        <f>#REF!+#REF!+#REF!+#REF!+#REF!</f>
        <v>#REF!</v>
      </c>
      <c r="O636" s="31"/>
      <c r="P636" s="31"/>
      <c r="Q636" s="31"/>
      <c r="R636" s="31"/>
      <c r="S636" s="33" t="e">
        <f>#REF!+#REF!+#REF!+#REF!</f>
        <v>#REF!</v>
      </c>
      <c r="T636" s="33" t="e">
        <f>#REF!+#REF!+#REF!+#REF!+#REF!+#REF!+#REF!+#REF!+#REF!</f>
        <v>#REF!</v>
      </c>
      <c r="U636" s="84" t="e">
        <f t="shared" si="54"/>
        <v>#REF!</v>
      </c>
    </row>
    <row r="637" spans="2:21" ht="15" hidden="1">
      <c r="B637" s="3" t="s">
        <v>8</v>
      </c>
      <c r="E637" s="3"/>
      <c r="J637" s="31">
        <v>11</v>
      </c>
      <c r="K637" s="33">
        <f>T322+T323+T328+T329+T331</f>
        <v>0</v>
      </c>
      <c r="L637" s="31"/>
      <c r="M637" s="31"/>
      <c r="N637" s="33">
        <f>T320+T321+T324+T325</f>
        <v>0</v>
      </c>
      <c r="O637" s="31"/>
      <c r="P637" s="31"/>
      <c r="Q637" s="31"/>
      <c r="R637" s="31"/>
      <c r="S637" s="33">
        <f>T326+T327+T335</f>
        <v>0</v>
      </c>
      <c r="T637" s="33">
        <f>T332+T333+T337+T338+T340+T341+T342+T344+T345</f>
        <v>0</v>
      </c>
      <c r="U637" s="84">
        <f t="shared" si="54"/>
        <v>0</v>
      </c>
    </row>
    <row r="638" spans="2:21" ht="15" hidden="1">
      <c r="B638" s="16" t="e">
        <f>#REF!+#REF!+#REF!+#REF!+#REF!+#REF!+#REF!+#REF!+F52+H52+J52+K52+L52+F117+H117+J117+K117+L117+F190+G190+J190+K190+L190+F349+G349+H349+K349+L349+F437+H437+J437+K437+L437+F504+G504+H504+K504+L504+F583+G583+H583+K583+L583</f>
        <v>#REF!</v>
      </c>
      <c r="E638" s="3"/>
      <c r="J638" s="31">
        <v>13</v>
      </c>
      <c r="K638" s="33">
        <f>T397+T410+T411+T412+T413</f>
        <v>0</v>
      </c>
      <c r="L638" s="31"/>
      <c r="M638" s="31"/>
      <c r="N638" s="33">
        <f>T395+T396+T398+T399+T400+T401+T402+T403+T404+T405+T406</f>
        <v>0</v>
      </c>
      <c r="O638" s="31"/>
      <c r="P638" s="31"/>
      <c r="Q638" s="31"/>
      <c r="R638" s="31"/>
      <c r="S638" s="33" t="e">
        <f>T407+T408+T409+T417</f>
        <v>#VALUE!</v>
      </c>
      <c r="T638" s="33">
        <f>T414+T415+T418+T419+T420+T421+T422+T423+T424+T425+T426+T427</f>
        <v>0</v>
      </c>
      <c r="U638" s="84" t="e">
        <f t="shared" si="54"/>
        <v>#VALUE!</v>
      </c>
    </row>
    <row r="639" spans="5:21" ht="15" hidden="1">
      <c r="E639" s="3"/>
      <c r="J639" s="31">
        <v>16</v>
      </c>
      <c r="K639" s="33" t="e">
        <f>#REF!+#REF!+#REF!</f>
        <v>#REF!</v>
      </c>
      <c r="L639" s="31"/>
      <c r="M639" s="31"/>
      <c r="N639" s="33" t="e">
        <f>#REF!+#REF!+#REF!+#REF!</f>
        <v>#REF!</v>
      </c>
      <c r="O639" s="31"/>
      <c r="P639" s="31"/>
      <c r="Q639" s="31"/>
      <c r="R639" s="31"/>
      <c r="S639" s="33" t="e">
        <f>#REF!+#REF!</f>
        <v>#REF!</v>
      </c>
      <c r="T639" s="33" t="e">
        <f>#REF!+#REF!+#REF!+#REF!+#REF!+#REF!+#REF!+#REF!+#REF!+#REF!+#REF!</f>
        <v>#REF!</v>
      </c>
      <c r="U639" s="84" t="e">
        <f t="shared" si="54"/>
        <v>#REF!</v>
      </c>
    </row>
    <row r="640" spans="5:21" ht="15" hidden="1">
      <c r="E640" s="3"/>
      <c r="J640" s="31">
        <v>18</v>
      </c>
      <c r="K640" s="33">
        <f>T475+T481+T482+T483</f>
        <v>0</v>
      </c>
      <c r="L640" s="31"/>
      <c r="M640" s="31"/>
      <c r="N640" s="33">
        <f>T473+T476+T477+T478+T479</f>
        <v>0</v>
      </c>
      <c r="O640" s="31"/>
      <c r="P640" s="31"/>
      <c r="Q640" s="31"/>
      <c r="R640" s="31"/>
      <c r="S640" s="33">
        <f>T480+T487</f>
        <v>0</v>
      </c>
      <c r="T640" s="33">
        <f>T484+T485+T489+T490+T492+T493+T494+T496+T497</f>
        <v>0</v>
      </c>
      <c r="U640" s="84">
        <f t="shared" si="54"/>
        <v>0</v>
      </c>
    </row>
    <row r="641" spans="5:21" ht="15" hidden="1">
      <c r="E641" s="3"/>
      <c r="J641" s="31">
        <v>21</v>
      </c>
      <c r="K641" s="33">
        <f>T27+T37+T38+T36</f>
        <v>0</v>
      </c>
      <c r="L641" s="31"/>
      <c r="M641" s="31"/>
      <c r="N641" s="33">
        <f>T25+T26+T29+T30+T31+T32</f>
        <v>0</v>
      </c>
      <c r="O641" s="31"/>
      <c r="P641" s="31"/>
      <c r="Q641" s="31"/>
      <c r="R641" s="31"/>
      <c r="S641" s="33">
        <f>T33+T41</f>
        <v>0</v>
      </c>
      <c r="T641" s="33">
        <f>T39+T40+T42+T43+T44+T45+T46+T47+T48+T49+T50+T51</f>
        <v>0</v>
      </c>
      <c r="U641" s="84">
        <f t="shared" si="54"/>
        <v>0</v>
      </c>
    </row>
    <row r="642" spans="5:21" ht="15" hidden="1">
      <c r="E642" s="3"/>
      <c r="J642" s="31">
        <v>22</v>
      </c>
      <c r="K642" s="33" t="e">
        <f>T89+T90+T96+T97+T99+T100</f>
        <v>#VALUE!</v>
      </c>
      <c r="L642" s="31"/>
      <c r="M642" s="31"/>
      <c r="N642" s="33">
        <f>T87+T88+T91+T94+T101</f>
        <v>0</v>
      </c>
      <c r="O642" s="31"/>
      <c r="P642" s="31"/>
      <c r="Q642" s="31"/>
      <c r="R642" s="31"/>
      <c r="S642" s="33">
        <f>T92+T93+T95+T104</f>
        <v>0</v>
      </c>
      <c r="T642" s="33">
        <f>T102+T103+T106+T107+T108+T109+T110+T111+T112+T113+T114+T115+T116</f>
        <v>0</v>
      </c>
      <c r="U642" s="84" t="e">
        <f t="shared" si="54"/>
        <v>#VALUE!</v>
      </c>
    </row>
    <row r="643" spans="5:21" ht="15" hidden="1">
      <c r="E643" s="3"/>
      <c r="J643" s="31">
        <v>23</v>
      </c>
      <c r="K643" s="33">
        <f>T554+T555+T560+T561</f>
        <v>0</v>
      </c>
      <c r="L643" s="31"/>
      <c r="M643" s="31"/>
      <c r="N643" s="33">
        <f>T552+T553+T556+T557+T558</f>
        <v>0</v>
      </c>
      <c r="O643" s="31"/>
      <c r="P643" s="31"/>
      <c r="Q643" s="31"/>
      <c r="R643" s="31"/>
      <c r="S643" s="33">
        <f>T559+T566</f>
        <v>0</v>
      </c>
      <c r="T643" s="33">
        <f>T563+T564+T568+T569+T571+T572+T573+T575+T576</f>
        <v>0</v>
      </c>
      <c r="U643" s="84">
        <f t="shared" si="54"/>
        <v>0</v>
      </c>
    </row>
    <row r="644" spans="5:21" ht="15" hidden="1">
      <c r="E644" s="3"/>
      <c r="J644" s="31" t="s">
        <v>64</v>
      </c>
      <c r="K644" s="168" t="e">
        <f>SUM(K635:K643)</f>
        <v>#REF!</v>
      </c>
      <c r="L644" s="84">
        <f aca="true" t="shared" si="55" ref="L644:U644">SUM(L635:L643)</f>
        <v>0</v>
      </c>
      <c r="M644" s="84">
        <f t="shared" si="55"/>
        <v>0</v>
      </c>
      <c r="N644" s="84" t="e">
        <f t="shared" si="55"/>
        <v>#REF!</v>
      </c>
      <c r="O644" s="84">
        <f t="shared" si="55"/>
        <v>0</v>
      </c>
      <c r="P644" s="84"/>
      <c r="Q644" s="84"/>
      <c r="R644" s="84">
        <f t="shared" si="55"/>
        <v>0</v>
      </c>
      <c r="S644" s="84" t="e">
        <f t="shared" si="55"/>
        <v>#REF!</v>
      </c>
      <c r="T644" s="84" t="e">
        <f t="shared" si="55"/>
        <v>#REF!</v>
      </c>
      <c r="U644" s="84" t="e">
        <f t="shared" si="55"/>
        <v>#REF!</v>
      </c>
    </row>
    <row r="645" spans="2:5" ht="15" hidden="1">
      <c r="B645" s="3" t="s">
        <v>286</v>
      </c>
      <c r="D645" s="16">
        <f>O38+O98+O159+O251+O321+O394+O464+O529+O593</f>
        <v>943720.752</v>
      </c>
      <c r="E645" s="3"/>
    </row>
    <row r="646" spans="2:21" ht="15" hidden="1">
      <c r="B646" s="3" t="s">
        <v>285</v>
      </c>
      <c r="D646" s="16">
        <f>C38+C98+C159+C251+C321+C394+C464+C529+C593</f>
        <v>318.65</v>
      </c>
      <c r="E646" s="3"/>
      <c r="T646" s="3" t="s">
        <v>225</v>
      </c>
      <c r="U646" s="16" t="e">
        <f>T583+T504+T437+T349+T190+T117+T52+#REF!+#REF!</f>
        <v>#REF!</v>
      </c>
    </row>
    <row r="647" spans="2:17" ht="25.5" customHeight="1" hidden="1">
      <c r="B647" s="667" t="s">
        <v>343</v>
      </c>
      <c r="C647" s="667"/>
      <c r="D647" s="667"/>
      <c r="E647" s="667"/>
      <c r="F647" s="667"/>
      <c r="G647" s="667"/>
      <c r="H647" s="667"/>
      <c r="I647" s="667"/>
      <c r="J647" s="667"/>
      <c r="K647" s="667"/>
      <c r="L647" s="667"/>
      <c r="M647" s="667"/>
      <c r="N647" s="667"/>
      <c r="O647" s="667"/>
      <c r="P647" s="410"/>
      <c r="Q647" s="410"/>
    </row>
    <row r="648" spans="2:4" ht="1.5" customHeight="1" hidden="1">
      <c r="B648" s="6"/>
      <c r="C648" s="6"/>
      <c r="D648" s="171"/>
    </row>
    <row r="649" spans="1:18" ht="12.75" customHeight="1" hidden="1">
      <c r="A649" s="654" t="s">
        <v>1</v>
      </c>
      <c r="B649" s="242" t="s">
        <v>2</v>
      </c>
      <c r="C649" s="243" t="s">
        <v>4</v>
      </c>
      <c r="D649" s="670" t="s">
        <v>317</v>
      </c>
      <c r="E649" s="671"/>
      <c r="F649" s="562" t="s">
        <v>7</v>
      </c>
      <c r="G649" s="562"/>
      <c r="H649" s="562"/>
      <c r="I649" s="562"/>
      <c r="J649" s="238"/>
      <c r="K649" s="239"/>
      <c r="L649" s="304"/>
      <c r="M649" s="239" t="s">
        <v>8</v>
      </c>
      <c r="N649" s="305"/>
      <c r="O649" s="237" t="s">
        <v>10</v>
      </c>
      <c r="P649" s="493" t="s">
        <v>339</v>
      </c>
      <c r="Q649" s="473" t="s">
        <v>340</v>
      </c>
      <c r="R649" s="237" t="s">
        <v>13</v>
      </c>
    </row>
    <row r="650" spans="1:18" ht="12.75" customHeight="1" hidden="1">
      <c r="A650" s="655"/>
      <c r="B650" s="242" t="s">
        <v>3</v>
      </c>
      <c r="C650" s="242" t="s">
        <v>5</v>
      </c>
      <c r="D650" s="672"/>
      <c r="E650" s="673"/>
      <c r="F650" s="664" t="s">
        <v>18</v>
      </c>
      <c r="G650" s="523" t="s">
        <v>266</v>
      </c>
      <c r="H650" s="558" t="s">
        <v>245</v>
      </c>
      <c r="I650" s="668" t="s">
        <v>316</v>
      </c>
      <c r="J650" s="306"/>
      <c r="K650" s="498" t="s">
        <v>195</v>
      </c>
      <c r="L650" s="557" t="s">
        <v>113</v>
      </c>
      <c r="M650" s="557" t="s">
        <v>114</v>
      </c>
      <c r="N650" s="681" t="s">
        <v>235</v>
      </c>
      <c r="O650" s="243" t="s">
        <v>11</v>
      </c>
      <c r="P650" s="494"/>
      <c r="Q650" s="474"/>
      <c r="R650" s="243" t="s">
        <v>11</v>
      </c>
    </row>
    <row r="651" spans="1:18" ht="15" hidden="1">
      <c r="A651" s="655"/>
      <c r="B651" s="242"/>
      <c r="C651" s="242" t="s">
        <v>6</v>
      </c>
      <c r="D651" s="672"/>
      <c r="E651" s="673"/>
      <c r="F651" s="664"/>
      <c r="G651" s="483"/>
      <c r="H651" s="558"/>
      <c r="I651" s="558"/>
      <c r="J651" s="244"/>
      <c r="K651" s="499"/>
      <c r="L651" s="558"/>
      <c r="M651" s="558"/>
      <c r="N651" s="681"/>
      <c r="O651" s="307" t="s">
        <v>12</v>
      </c>
      <c r="P651" s="494"/>
      <c r="Q651" s="474"/>
      <c r="R651" s="243" t="s">
        <v>14</v>
      </c>
    </row>
    <row r="652" spans="1:18" ht="15" hidden="1">
      <c r="A652" s="241"/>
      <c r="B652" s="242"/>
      <c r="C652" s="242"/>
      <c r="D652" s="672"/>
      <c r="E652" s="673"/>
      <c r="F652" s="664"/>
      <c r="G652" s="483"/>
      <c r="H652" s="558"/>
      <c r="I652" s="558"/>
      <c r="J652" s="244"/>
      <c r="K652" s="499"/>
      <c r="L652" s="558"/>
      <c r="M652" s="558"/>
      <c r="N652" s="681"/>
      <c r="O652" s="307" t="s">
        <v>115</v>
      </c>
      <c r="P652" s="494"/>
      <c r="Q652" s="474"/>
      <c r="R652" s="243" t="s">
        <v>115</v>
      </c>
    </row>
    <row r="653" spans="1:18" ht="61.5" customHeight="1" hidden="1">
      <c r="A653" s="246"/>
      <c r="B653" s="247"/>
      <c r="C653" s="248"/>
      <c r="D653" s="674"/>
      <c r="E653" s="675"/>
      <c r="F653" s="665"/>
      <c r="G653" s="484"/>
      <c r="H653" s="559"/>
      <c r="I653" s="559"/>
      <c r="J653" s="249" t="s">
        <v>253</v>
      </c>
      <c r="K653" s="500"/>
      <c r="L653" s="559"/>
      <c r="M653" s="559"/>
      <c r="N653" s="682"/>
      <c r="O653" s="308"/>
      <c r="P653" s="495"/>
      <c r="Q653" s="475"/>
      <c r="R653" s="251"/>
    </row>
    <row r="654" spans="1:18" ht="23.25" customHeight="1" hidden="1">
      <c r="A654" s="266">
        <v>1</v>
      </c>
      <c r="B654" s="251" t="s">
        <v>213</v>
      </c>
      <c r="C654" s="268">
        <f>C16+C74+C138+C202+C292+C364+C432+C507+C572</f>
        <v>9</v>
      </c>
      <c r="D654" s="278">
        <f>D16+D74+D138+D202+D292+D364+D432+D507+D572</f>
        <v>41520</v>
      </c>
      <c r="E654" s="269" t="s">
        <v>352</v>
      </c>
      <c r="F654" s="233">
        <f>F16+F74+F138+F202+F292+F364+F432+F507+F572</f>
        <v>11913.6</v>
      </c>
      <c r="G654" s="233">
        <f aca="true" t="shared" si="56" ref="G654:P654">G16+G74+G138+G202+G292+G364+G432+G507+G572</f>
        <v>2292</v>
      </c>
      <c r="H654" s="233">
        <f t="shared" si="56"/>
        <v>1200</v>
      </c>
      <c r="I654" s="233">
        <f t="shared" si="56"/>
        <v>1680</v>
      </c>
      <c r="J654" s="233">
        <f t="shared" si="56"/>
        <v>1440</v>
      </c>
      <c r="K654" s="233">
        <f t="shared" si="56"/>
        <v>0</v>
      </c>
      <c r="L654" s="233">
        <f t="shared" si="56"/>
        <v>0</v>
      </c>
      <c r="M654" s="233">
        <f t="shared" si="56"/>
        <v>0</v>
      </c>
      <c r="N654" s="233">
        <f t="shared" si="56"/>
        <v>0</v>
      </c>
      <c r="O654" s="233">
        <f t="shared" si="56"/>
        <v>59565.600000000006</v>
      </c>
      <c r="P654" s="233">
        <f t="shared" si="56"/>
        <v>0</v>
      </c>
      <c r="Q654" s="233">
        <f>D654+F654+G654+H654+I654+J654+K654+L654+M654+N654+P654</f>
        <v>60045.6</v>
      </c>
      <c r="R654" s="234">
        <f>O654*12</f>
        <v>714787.2000000001</v>
      </c>
    </row>
    <row r="655" spans="1:18" ht="15" hidden="1">
      <c r="A655" s="174"/>
      <c r="B655" s="162"/>
      <c r="C655" s="276"/>
      <c r="D655" s="272"/>
      <c r="E655" s="273"/>
      <c r="F655" s="274"/>
      <c r="G655" s="233"/>
      <c r="H655" s="233"/>
      <c r="I655" s="84"/>
      <c r="J655" s="233"/>
      <c r="K655" s="84"/>
      <c r="L655" s="84"/>
      <c r="M655" s="84"/>
      <c r="N655" s="84"/>
      <c r="O655" s="234"/>
      <c r="P655" s="234"/>
      <c r="Q655" s="233">
        <f aca="true" t="shared" si="57" ref="Q655:Q711">D655+F655+G655+H655+I655+J655+K655+L655+M655+N655+P655</f>
        <v>0</v>
      </c>
      <c r="R655" s="234">
        <f>O655*12</f>
        <v>0</v>
      </c>
    </row>
    <row r="656" spans="1:18" ht="28.5" hidden="1">
      <c r="A656" s="174">
        <v>2</v>
      </c>
      <c r="B656" s="280" t="s">
        <v>130</v>
      </c>
      <c r="C656" s="276">
        <f>C17+C76+C139+C204+C294+C366+C434+C508+C574+C140</f>
        <v>16</v>
      </c>
      <c r="D656" s="276">
        <f>D17*C17+D76*C76+D139*C139+D140*C140+D204*C204+D294*C294+D229*C229+D366*C366+D434*C434+D508*C508+D574*C574</f>
        <v>76402.8</v>
      </c>
      <c r="E656" s="300" t="e">
        <f aca="true" t="shared" si="58" ref="E656:P656">E17+E76+E139+E204+E294+E366+E434+E508+E574+E140</f>
        <v>#VALUE!</v>
      </c>
      <c r="F656" s="276">
        <f t="shared" si="58"/>
        <v>19801.290000000005</v>
      </c>
      <c r="G656" s="276">
        <f t="shared" si="58"/>
        <v>3997.9800000000005</v>
      </c>
      <c r="H656" s="276">
        <f t="shared" si="58"/>
        <v>1140</v>
      </c>
      <c r="I656" s="276">
        <f t="shared" si="58"/>
        <v>3306</v>
      </c>
      <c r="J656" s="276">
        <f t="shared" si="58"/>
        <v>1710</v>
      </c>
      <c r="K656" s="276">
        <f t="shared" si="58"/>
        <v>0</v>
      </c>
      <c r="L656" s="276">
        <f t="shared" si="58"/>
        <v>0</v>
      </c>
      <c r="M656" s="276">
        <f t="shared" si="58"/>
        <v>0</v>
      </c>
      <c r="N656" s="276">
        <f t="shared" si="58"/>
        <v>0</v>
      </c>
      <c r="O656" s="276">
        <f t="shared" si="58"/>
        <v>101342.07</v>
      </c>
      <c r="P656" s="276">
        <f t="shared" si="58"/>
        <v>0</v>
      </c>
      <c r="Q656" s="233">
        <f t="shared" si="57"/>
        <v>106358.07</v>
      </c>
      <c r="R656" s="233">
        <f>R17+R76+R139+R204+R294+R366+R434+R508+R574+R140</f>
        <v>1216104.8399999999</v>
      </c>
    </row>
    <row r="657" spans="1:18" ht="12.75" customHeight="1" hidden="1">
      <c r="A657" s="174"/>
      <c r="B657" s="162"/>
      <c r="C657" s="276"/>
      <c r="D657" s="278"/>
      <c r="E657" s="273"/>
      <c r="F657" s="233"/>
      <c r="G657" s="233"/>
      <c r="H657" s="233"/>
      <c r="I657" s="84"/>
      <c r="J657" s="84"/>
      <c r="K657" s="84"/>
      <c r="L657" s="84"/>
      <c r="M657" s="84"/>
      <c r="N657" s="84"/>
      <c r="O657" s="234"/>
      <c r="P657" s="234"/>
      <c r="Q657" s="233">
        <f t="shared" si="57"/>
        <v>0</v>
      </c>
      <c r="R657" s="234"/>
    </row>
    <row r="658" spans="1:18" ht="34.5" customHeight="1" hidden="1">
      <c r="A658" s="174">
        <v>3</v>
      </c>
      <c r="B658" s="281" t="s">
        <v>250</v>
      </c>
      <c r="C658" s="276">
        <f>C206+C295+C368+C436</f>
        <v>2.5</v>
      </c>
      <c r="D658" s="276">
        <f aca="true" t="shared" si="59" ref="D658:R658">D206+D295+D368+D436</f>
        <v>17552</v>
      </c>
      <c r="E658" s="276" t="e">
        <f t="shared" si="59"/>
        <v>#VALUE!</v>
      </c>
      <c r="F658" s="276">
        <f t="shared" si="59"/>
        <v>2176.6</v>
      </c>
      <c r="G658" s="276">
        <f t="shared" si="59"/>
        <v>535.6</v>
      </c>
      <c r="H658" s="276">
        <f t="shared" si="59"/>
        <v>0</v>
      </c>
      <c r="I658" s="276">
        <f t="shared" si="59"/>
        <v>0</v>
      </c>
      <c r="J658" s="276">
        <f t="shared" si="59"/>
        <v>0</v>
      </c>
      <c r="K658" s="276">
        <f t="shared" si="59"/>
        <v>0</v>
      </c>
      <c r="L658" s="276">
        <f t="shared" si="59"/>
        <v>0</v>
      </c>
      <c r="M658" s="276">
        <f t="shared" si="59"/>
        <v>0</v>
      </c>
      <c r="N658" s="276">
        <f t="shared" si="59"/>
        <v>0</v>
      </c>
      <c r="O658" s="276">
        <f t="shared" si="59"/>
        <v>13424.2</v>
      </c>
      <c r="P658" s="276">
        <f t="shared" si="59"/>
        <v>0</v>
      </c>
      <c r="Q658" s="276">
        <f t="shared" si="59"/>
        <v>13424.2</v>
      </c>
      <c r="R658" s="276">
        <f t="shared" si="59"/>
        <v>161090.4</v>
      </c>
    </row>
    <row r="659" spans="1:19" ht="18" customHeight="1" hidden="1">
      <c r="A659" s="174">
        <v>4</v>
      </c>
      <c r="B659" s="162" t="s">
        <v>34</v>
      </c>
      <c r="C659" s="84">
        <f>C19+C79+C207+C302+C369+C437+C142+C512</f>
        <v>5.5</v>
      </c>
      <c r="D659" s="84">
        <f>D19*C19+D79*C79+D142*C142+D207*C207+D302*C302+D369*C369+D437*C437+C512*D512</f>
        <v>20276</v>
      </c>
      <c r="E659" s="300">
        <v>12</v>
      </c>
      <c r="F659" s="84">
        <f>F19+F79+F207+F302+F369+F437+F142+F512</f>
        <v>4768.8</v>
      </c>
      <c r="G659" s="84">
        <f aca="true" t="shared" si="60" ref="G659:Q659">G19+G79+G207+G302+G369+G437+G142+G512</f>
        <v>1110.6000000000004</v>
      </c>
      <c r="H659" s="84">
        <f t="shared" si="60"/>
        <v>0</v>
      </c>
      <c r="I659" s="84">
        <f t="shared" si="60"/>
        <v>0</v>
      </c>
      <c r="J659" s="84">
        <f t="shared" si="60"/>
        <v>0</v>
      </c>
      <c r="K659" s="84">
        <f t="shared" si="60"/>
        <v>0</v>
      </c>
      <c r="L659" s="84">
        <f t="shared" si="60"/>
        <v>0</v>
      </c>
      <c r="M659" s="84">
        <f t="shared" si="60"/>
        <v>0</v>
      </c>
      <c r="N659" s="84">
        <f t="shared" si="60"/>
        <v>0</v>
      </c>
      <c r="O659" s="84">
        <f t="shared" si="60"/>
        <v>26155.4</v>
      </c>
      <c r="P659" s="84">
        <f t="shared" si="60"/>
        <v>0</v>
      </c>
      <c r="Q659" s="84">
        <f t="shared" si="60"/>
        <v>26155.4</v>
      </c>
      <c r="R659" s="84">
        <f>R19+R79+R207+R302+R369+R437+R142</f>
        <v>283663.2</v>
      </c>
      <c r="S659" s="16"/>
    </row>
    <row r="660" spans="1:19" ht="18" customHeight="1" hidden="1">
      <c r="A660" s="174">
        <v>5</v>
      </c>
      <c r="B660" s="162" t="s">
        <v>282</v>
      </c>
      <c r="C660" s="84">
        <f>C441+C209</f>
        <v>2</v>
      </c>
      <c r="D660" s="84">
        <f aca="true" t="shared" si="61" ref="D660:O660">D441+D209</f>
        <v>6784</v>
      </c>
      <c r="E660" s="300">
        <v>13</v>
      </c>
      <c r="F660" s="84">
        <f t="shared" si="61"/>
        <v>1404.8</v>
      </c>
      <c r="G660" s="84">
        <f t="shared" si="61"/>
        <v>339.20000000000005</v>
      </c>
      <c r="H660" s="84">
        <f t="shared" si="61"/>
        <v>0</v>
      </c>
      <c r="I660" s="84">
        <f t="shared" si="61"/>
        <v>0</v>
      </c>
      <c r="J660" s="84">
        <f t="shared" si="61"/>
        <v>0</v>
      </c>
      <c r="K660" s="84">
        <f t="shared" si="61"/>
        <v>0</v>
      </c>
      <c r="L660" s="84">
        <f t="shared" si="61"/>
        <v>0</v>
      </c>
      <c r="M660" s="84">
        <f t="shared" si="61"/>
        <v>0</v>
      </c>
      <c r="N660" s="84">
        <f t="shared" si="61"/>
        <v>0</v>
      </c>
      <c r="O660" s="84">
        <f t="shared" si="61"/>
        <v>8528</v>
      </c>
      <c r="P660" s="84">
        <f>P441+P209</f>
        <v>0</v>
      </c>
      <c r="Q660" s="233">
        <f t="shared" si="57"/>
        <v>8528</v>
      </c>
      <c r="R660" s="84">
        <f>R441+R209</f>
        <v>104528.7012336</v>
      </c>
      <c r="S660" s="16"/>
    </row>
    <row r="661" spans="1:18" ht="18" customHeight="1" hidden="1">
      <c r="A661" s="174">
        <v>6</v>
      </c>
      <c r="B661" s="162" t="s">
        <v>21</v>
      </c>
      <c r="C661" s="276">
        <f>C20+C80+C143+C208+C303+C370+C438+C510+C575</f>
        <v>9</v>
      </c>
      <c r="D661" s="276">
        <f aca="true" t="shared" si="62" ref="D661:O661">D20+D80+D143+D208+D303+D370+D438+D510+D575</f>
        <v>31008</v>
      </c>
      <c r="E661" s="300">
        <v>11</v>
      </c>
      <c r="F661" s="276">
        <f t="shared" si="62"/>
        <v>5769.679999999999</v>
      </c>
      <c r="G661" s="276">
        <f t="shared" si="62"/>
        <v>1550.4</v>
      </c>
      <c r="H661" s="276">
        <f t="shared" si="62"/>
        <v>0</v>
      </c>
      <c r="I661" s="276">
        <f t="shared" si="62"/>
        <v>0</v>
      </c>
      <c r="J661" s="276">
        <f t="shared" si="62"/>
        <v>0</v>
      </c>
      <c r="K661" s="276">
        <f t="shared" si="62"/>
        <v>0</v>
      </c>
      <c r="L661" s="276">
        <f t="shared" si="62"/>
        <v>0</v>
      </c>
      <c r="M661" s="276">
        <f t="shared" si="62"/>
        <v>0</v>
      </c>
      <c r="N661" s="276">
        <f t="shared" si="62"/>
        <v>0</v>
      </c>
      <c r="O661" s="276">
        <f t="shared" si="62"/>
        <v>38328.08</v>
      </c>
      <c r="P661" s="276">
        <f>P20+P80+P143+P208+P303+P370+P438+P510+P575</f>
        <v>0</v>
      </c>
      <c r="Q661" s="233">
        <f t="shared" si="57"/>
        <v>38328.08</v>
      </c>
      <c r="R661" s="233">
        <f>R20+R80+R143+R208+R303+R370+R438+R510+R575</f>
        <v>459936.96</v>
      </c>
    </row>
    <row r="662" spans="1:20" ht="18" customHeight="1" hidden="1">
      <c r="A662" s="174">
        <v>7</v>
      </c>
      <c r="B662" s="162" t="s">
        <v>32</v>
      </c>
      <c r="C662" s="276">
        <f>C21+C81+C144+C210+C304+C372+C439+C511+C576</f>
        <v>15.5</v>
      </c>
      <c r="D662" s="276">
        <f>D21*C21+D81*C81+D144*C144+D210*C210+D304*C304+D372*C372+D439*C439+D511*C511+D576*C576</f>
        <v>50536</v>
      </c>
      <c r="E662" s="300">
        <v>12</v>
      </c>
      <c r="F662" s="276">
        <f aca="true" t="shared" si="63" ref="F662:O662">F21+F81+F144+F210+F304+F372+F439+F511+F576</f>
        <v>8075.749999999998</v>
      </c>
      <c r="G662" s="276">
        <f t="shared" si="63"/>
        <v>2683.2000000000003</v>
      </c>
      <c r="H662" s="276">
        <f t="shared" si="63"/>
        <v>0</v>
      </c>
      <c r="I662" s="276">
        <f t="shared" si="63"/>
        <v>788</v>
      </c>
      <c r="J662" s="276">
        <f t="shared" si="63"/>
        <v>0</v>
      </c>
      <c r="K662" s="276">
        <f t="shared" si="63"/>
        <v>0</v>
      </c>
      <c r="L662" s="276">
        <f t="shared" si="63"/>
        <v>0</v>
      </c>
      <c r="M662" s="276">
        <f t="shared" si="63"/>
        <v>0</v>
      </c>
      <c r="N662" s="276">
        <f t="shared" si="63"/>
        <v>0</v>
      </c>
      <c r="O662" s="276">
        <f t="shared" si="63"/>
        <v>62082.950000000004</v>
      </c>
      <c r="P662" s="276">
        <f>P21+P81+P144+P210+P304+P372+P439+P511+P576</f>
        <v>0</v>
      </c>
      <c r="Q662" s="233">
        <f t="shared" si="57"/>
        <v>62082.95</v>
      </c>
      <c r="R662" s="233">
        <f>R21+R81+R144+R210+R304+R372+R439+R511+R576</f>
        <v>744995.3999999999</v>
      </c>
      <c r="T662" s="16">
        <f>C23+C83+C146+C215+C235+C306+C377+C394+C443+C514+C579</f>
        <v>12.5</v>
      </c>
    </row>
    <row r="663" spans="1:18" ht="18" customHeight="1" hidden="1">
      <c r="A663" s="174">
        <v>8</v>
      </c>
      <c r="B663" s="162" t="s">
        <v>284</v>
      </c>
      <c r="C663" s="276">
        <f>C459+C460+C461</f>
        <v>3</v>
      </c>
      <c r="D663" s="276">
        <f aca="true" t="shared" si="64" ref="D663:O663">D459+D460+D461</f>
        <v>10416</v>
      </c>
      <c r="E663" s="300">
        <v>13</v>
      </c>
      <c r="F663" s="276">
        <f t="shared" si="64"/>
        <v>1853</v>
      </c>
      <c r="G663" s="276">
        <f t="shared" si="64"/>
        <v>651</v>
      </c>
      <c r="H663" s="276">
        <f t="shared" si="64"/>
        <v>0</v>
      </c>
      <c r="I663" s="276">
        <f t="shared" si="64"/>
        <v>2604</v>
      </c>
      <c r="J663" s="276">
        <f t="shared" si="64"/>
        <v>0</v>
      </c>
      <c r="K663" s="276">
        <f t="shared" si="64"/>
        <v>0</v>
      </c>
      <c r="L663" s="276">
        <f t="shared" si="64"/>
        <v>0</v>
      </c>
      <c r="M663" s="276">
        <f t="shared" si="64"/>
        <v>0</v>
      </c>
      <c r="N663" s="276">
        <f t="shared" si="64"/>
        <v>0</v>
      </c>
      <c r="O663" s="276">
        <f t="shared" si="64"/>
        <v>15524</v>
      </c>
      <c r="P663" s="276">
        <f>P459+P460+P461</f>
        <v>0</v>
      </c>
      <c r="Q663" s="233">
        <f t="shared" si="57"/>
        <v>15524</v>
      </c>
      <c r="R663" s="233">
        <f>R459+R460+R461</f>
        <v>93144</v>
      </c>
    </row>
    <row r="664" spans="1:18" ht="18" customHeight="1" hidden="1">
      <c r="A664" s="174">
        <v>9</v>
      </c>
      <c r="B664" s="162" t="s">
        <v>205</v>
      </c>
      <c r="C664" s="276">
        <f>C22+C82+C145+C211+C305+C373+C440+C513+C577</f>
        <v>7.5</v>
      </c>
      <c r="D664" s="276">
        <f>D22+D82+D211+D305+D373+D440+D145*C145+D513*C513+D577*C577</f>
        <v>24696</v>
      </c>
      <c r="E664" s="300">
        <v>10</v>
      </c>
      <c r="F664" s="276">
        <f aca="true" t="shared" si="65" ref="F664:O664">F22+F82+F145+F211+F305+F373+F440+F513+F577</f>
        <v>4543.2</v>
      </c>
      <c r="G664" s="276">
        <f t="shared" si="65"/>
        <v>0</v>
      </c>
      <c r="H664" s="276">
        <f t="shared" si="65"/>
        <v>2639.2</v>
      </c>
      <c r="I664" s="276">
        <f t="shared" si="65"/>
        <v>0</v>
      </c>
      <c r="J664" s="276">
        <f t="shared" si="65"/>
        <v>0</v>
      </c>
      <c r="K664" s="276">
        <f t="shared" si="65"/>
        <v>0</v>
      </c>
      <c r="L664" s="276">
        <f t="shared" si="65"/>
        <v>0</v>
      </c>
      <c r="M664" s="276">
        <f t="shared" si="65"/>
        <v>0</v>
      </c>
      <c r="N664" s="276">
        <f t="shared" si="65"/>
        <v>0</v>
      </c>
      <c r="O664" s="276">
        <f t="shared" si="65"/>
        <v>31878.4</v>
      </c>
      <c r="P664" s="276">
        <f>P22+P82+P145+P211+P305+P373+P440+P513+P577</f>
        <v>156.79999999999995</v>
      </c>
      <c r="Q664" s="233">
        <f t="shared" si="57"/>
        <v>32035.2</v>
      </c>
      <c r="R664" s="233">
        <f>R22+R82+R145+R211+R305+R373+R440+R513+R577</f>
        <v>382540.80000000005</v>
      </c>
    </row>
    <row r="665" spans="1:18" ht="31.5" customHeight="1" hidden="1">
      <c r="A665" s="174">
        <v>10</v>
      </c>
      <c r="B665" s="280" t="s">
        <v>160</v>
      </c>
      <c r="C665" s="276">
        <f>C141</f>
        <v>0</v>
      </c>
      <c r="D665" s="276">
        <f aca="true" t="shared" si="66" ref="D665:O665">D141</f>
        <v>0</v>
      </c>
      <c r="E665" s="300">
        <v>13</v>
      </c>
      <c r="F665" s="276">
        <f t="shared" si="66"/>
        <v>0</v>
      </c>
      <c r="G665" s="276">
        <f t="shared" si="66"/>
        <v>0</v>
      </c>
      <c r="H665" s="276">
        <f t="shared" si="66"/>
        <v>0</v>
      </c>
      <c r="I665" s="276">
        <f t="shared" si="66"/>
        <v>0</v>
      </c>
      <c r="J665" s="276">
        <f t="shared" si="66"/>
        <v>0</v>
      </c>
      <c r="K665" s="276">
        <f t="shared" si="66"/>
        <v>0</v>
      </c>
      <c r="L665" s="276">
        <f t="shared" si="66"/>
        <v>0</v>
      </c>
      <c r="M665" s="276">
        <f t="shared" si="66"/>
        <v>0</v>
      </c>
      <c r="N665" s="276">
        <f t="shared" si="66"/>
        <v>0</v>
      </c>
      <c r="O665" s="276">
        <f t="shared" si="66"/>
        <v>0</v>
      </c>
      <c r="P665" s="276">
        <f>P141</f>
        <v>0</v>
      </c>
      <c r="Q665" s="233">
        <f t="shared" si="57"/>
        <v>0</v>
      </c>
      <c r="R665" s="233">
        <f>R141</f>
        <v>0</v>
      </c>
    </row>
    <row r="666" spans="1:18" ht="18" customHeight="1" hidden="1">
      <c r="A666" s="174">
        <v>11</v>
      </c>
      <c r="B666" s="162" t="s">
        <v>179</v>
      </c>
      <c r="C666" s="276">
        <f>C24+C84+C147+C212+C308+C374+C444+C509+C580</f>
        <v>2</v>
      </c>
      <c r="D666" s="276">
        <f aca="true" t="shared" si="67" ref="D666:O666">D24+D84+D147+D212+D308+D374+D444+D509+D580</f>
        <v>10176</v>
      </c>
      <c r="E666" s="300">
        <f t="shared" si="67"/>
        <v>90</v>
      </c>
      <c r="F666" s="276">
        <f t="shared" si="67"/>
        <v>1404.8000000000002</v>
      </c>
      <c r="G666" s="276">
        <f t="shared" si="67"/>
        <v>399.6</v>
      </c>
      <c r="H666" s="276">
        <f t="shared" si="67"/>
        <v>0</v>
      </c>
      <c r="I666" s="276">
        <f t="shared" si="67"/>
        <v>968</v>
      </c>
      <c r="J666" s="276">
        <f t="shared" si="67"/>
        <v>0</v>
      </c>
      <c r="K666" s="276">
        <f t="shared" si="67"/>
        <v>0</v>
      </c>
      <c r="L666" s="276">
        <f t="shared" si="67"/>
        <v>0</v>
      </c>
      <c r="M666" s="276">
        <f t="shared" si="67"/>
        <v>0</v>
      </c>
      <c r="N666" s="276">
        <f t="shared" si="67"/>
        <v>0</v>
      </c>
      <c r="O666" s="276">
        <f t="shared" si="67"/>
        <v>9796.4</v>
      </c>
      <c r="P666" s="276">
        <f>P24+P84+P147+P212+P308+P374+P444+P509+P580</f>
        <v>0</v>
      </c>
      <c r="Q666" s="233">
        <f t="shared" si="57"/>
        <v>12948.4</v>
      </c>
      <c r="R666" s="84">
        <f>R24+R84+R147+R212+R308+R374+R444+R509+R580</f>
        <v>117556.79999999999</v>
      </c>
    </row>
    <row r="667" spans="1:24" ht="47.25" customHeight="1" hidden="1">
      <c r="A667" s="174">
        <v>12</v>
      </c>
      <c r="B667" s="309" t="s">
        <v>281</v>
      </c>
      <c r="C667" s="276">
        <f>C25+C85+C148+C213+C307+C375+C445+C515+C578+C376</f>
        <v>10</v>
      </c>
      <c r="D667" s="276">
        <f>D25+D85+D148+D213+D231+D307+D376+D375+D445+D515+D578</f>
        <v>33232</v>
      </c>
      <c r="E667" s="300" t="e">
        <f aca="true" t="shared" si="68" ref="E667:O667">E25+E85+E148+E213+E307+E375+E445+E515+E578+E376</f>
        <v>#VALUE!</v>
      </c>
      <c r="F667" s="276">
        <f t="shared" si="68"/>
        <v>0</v>
      </c>
      <c r="G667" s="276">
        <f t="shared" si="68"/>
        <v>0</v>
      </c>
      <c r="H667" s="276">
        <f t="shared" si="68"/>
        <v>0</v>
      </c>
      <c r="I667" s="276">
        <f t="shared" si="68"/>
        <v>0</v>
      </c>
      <c r="J667" s="276">
        <f t="shared" si="68"/>
        <v>0</v>
      </c>
      <c r="K667" s="276">
        <f t="shared" si="68"/>
        <v>0</v>
      </c>
      <c r="L667" s="276">
        <f t="shared" si="68"/>
        <v>0</v>
      </c>
      <c r="M667" s="276">
        <f t="shared" si="68"/>
        <v>0</v>
      </c>
      <c r="N667" s="276">
        <f t="shared" si="68"/>
        <v>0</v>
      </c>
      <c r="O667" s="276">
        <f t="shared" si="68"/>
        <v>30608</v>
      </c>
      <c r="P667" s="276">
        <f>P25+P85+P148+P213+P307+P375+P445+P515+P578+P376</f>
        <v>4032</v>
      </c>
      <c r="Q667" s="233">
        <f t="shared" si="57"/>
        <v>37264</v>
      </c>
      <c r="R667" s="84">
        <f>R25+R85+R148+R213+R307+R375+R376+R445+R515+R578</f>
        <v>367296</v>
      </c>
      <c r="X667" s="47"/>
    </row>
    <row r="668" spans="1:18" ht="15" hidden="1">
      <c r="A668" s="174">
        <v>13</v>
      </c>
      <c r="B668" s="309" t="s">
        <v>221</v>
      </c>
      <c r="C668" s="276">
        <f>C23+C83+C146+C215+C306+C377+C443+C514+C579</f>
        <v>9</v>
      </c>
      <c r="D668" s="276">
        <f>D23+D83+D146+D215+D306+D377+D443+D514+D579</f>
        <v>21776</v>
      </c>
      <c r="E668" s="300">
        <v>8</v>
      </c>
      <c r="F668" s="276">
        <f aca="true" t="shared" si="69" ref="F668:O668">F23+F83+F146+F215+F306+F377+F443+F514+F579</f>
        <v>4676.799999999999</v>
      </c>
      <c r="G668" s="276">
        <f t="shared" si="69"/>
        <v>0</v>
      </c>
      <c r="H668" s="276">
        <f t="shared" si="69"/>
        <v>0</v>
      </c>
      <c r="I668" s="276">
        <f t="shared" si="69"/>
        <v>0</v>
      </c>
      <c r="J668" s="276">
        <f t="shared" si="69"/>
        <v>0</v>
      </c>
      <c r="K668" s="276">
        <f t="shared" si="69"/>
        <v>0</v>
      </c>
      <c r="L668" s="276">
        <f t="shared" si="69"/>
        <v>0</v>
      </c>
      <c r="M668" s="276">
        <f t="shared" si="69"/>
        <v>0</v>
      </c>
      <c r="N668" s="276">
        <f t="shared" si="69"/>
        <v>1524.3200000000004</v>
      </c>
      <c r="O668" s="276">
        <f t="shared" si="69"/>
        <v>27977.120000000006</v>
      </c>
      <c r="P668" s="276">
        <f>P23+P83+P146+P215+P306+P377+P443+P514+P579</f>
        <v>2797.6</v>
      </c>
      <c r="Q668" s="233">
        <f t="shared" si="57"/>
        <v>30774.719999999998</v>
      </c>
      <c r="R668" s="84">
        <f>R23+R83+R146+R215+R306+R377+R443+R514+R579</f>
        <v>336939.31425119995</v>
      </c>
    </row>
    <row r="669" spans="1:18" ht="20.25" customHeight="1" hidden="1">
      <c r="A669" s="174">
        <v>14</v>
      </c>
      <c r="B669" s="162" t="s">
        <v>23</v>
      </c>
      <c r="C669" s="276">
        <f>C26+C86+C157+C216+C309+C378+C446+C526+C588</f>
        <v>7.5</v>
      </c>
      <c r="D669" s="276">
        <f>D26+D86+D157*C157+D216+D309+D378+D446+D526*C526+D588*C588</f>
        <v>16320</v>
      </c>
      <c r="E669" s="300">
        <v>5</v>
      </c>
      <c r="F669" s="276">
        <f aca="true" t="shared" si="70" ref="F669:O669">F26+F86+F157+F216+F309+F378+F446+F526+F588</f>
        <v>0</v>
      </c>
      <c r="G669" s="276">
        <f t="shared" si="70"/>
        <v>0</v>
      </c>
      <c r="H669" s="276">
        <f t="shared" si="70"/>
        <v>0</v>
      </c>
      <c r="I669" s="276">
        <f t="shared" si="70"/>
        <v>0</v>
      </c>
      <c r="J669" s="276">
        <f t="shared" si="70"/>
        <v>0</v>
      </c>
      <c r="K669" s="276">
        <f t="shared" si="70"/>
        <v>0</v>
      </c>
      <c r="L669" s="276">
        <f t="shared" si="70"/>
        <v>0</v>
      </c>
      <c r="M669" s="276">
        <f t="shared" si="70"/>
        <v>0</v>
      </c>
      <c r="N669" s="276">
        <f t="shared" si="70"/>
        <v>0</v>
      </c>
      <c r="O669" s="276">
        <f t="shared" si="70"/>
        <v>16320</v>
      </c>
      <c r="P669" s="276">
        <f>P26+P86+P157+P216+P309+P378+P446+P526+P588</f>
        <v>7680</v>
      </c>
      <c r="Q669" s="233">
        <f t="shared" si="57"/>
        <v>24000</v>
      </c>
      <c r="R669" s="84">
        <f>R26+R86+R157+R216+R309+R378+R446+R526+R588</f>
        <v>195840</v>
      </c>
    </row>
    <row r="670" spans="1:19" ht="20.25" customHeight="1" hidden="1">
      <c r="A670" s="174">
        <v>15</v>
      </c>
      <c r="B670" s="162" t="s">
        <v>24</v>
      </c>
      <c r="C670" s="84">
        <f>C27+C87+C154+C217+C318+C379+C447</f>
        <v>3</v>
      </c>
      <c r="D670" s="84">
        <f>D27*C27+D87*C87+D154*C154+D217*C217+D318*C318+D379*C379+D447*C447</f>
        <v>6096</v>
      </c>
      <c r="E670" s="300">
        <v>4</v>
      </c>
      <c r="F670" s="84">
        <f aca="true" t="shared" si="71" ref="F670:O670">F27+F87+F154+F217+F318+F379+F447</f>
        <v>0</v>
      </c>
      <c r="G670" s="84">
        <f t="shared" si="71"/>
        <v>0</v>
      </c>
      <c r="H670" s="84">
        <f t="shared" si="71"/>
        <v>0</v>
      </c>
      <c r="I670" s="84">
        <f t="shared" si="71"/>
        <v>0</v>
      </c>
      <c r="J670" s="84">
        <f t="shared" si="71"/>
        <v>0</v>
      </c>
      <c r="K670" s="84">
        <f t="shared" si="71"/>
        <v>0</v>
      </c>
      <c r="L670" s="84">
        <f t="shared" si="71"/>
        <v>0</v>
      </c>
      <c r="M670" s="84">
        <f t="shared" si="71"/>
        <v>0</v>
      </c>
      <c r="N670" s="84">
        <f t="shared" si="71"/>
        <v>0</v>
      </c>
      <c r="O670" s="84">
        <f t="shared" si="71"/>
        <v>6096</v>
      </c>
      <c r="P670" s="84">
        <f>P27+P87+P154+P217+P318+P379+P447</f>
        <v>3504</v>
      </c>
      <c r="Q670" s="233">
        <f t="shared" si="57"/>
        <v>9600</v>
      </c>
      <c r="R670" s="84">
        <f>R27+R87+R154+R217+R318+R379+R447</f>
        <v>73152</v>
      </c>
      <c r="S670" s="16"/>
    </row>
    <row r="671" spans="1:18" ht="42.75" hidden="1">
      <c r="A671" s="174">
        <v>16</v>
      </c>
      <c r="B671" s="280" t="s">
        <v>182</v>
      </c>
      <c r="C671" s="276">
        <f>C28+C88+C149+C218+C311+C380+C448+C519+C583</f>
        <v>10</v>
      </c>
      <c r="D671" s="276">
        <f>D28*C28+D88*C88+D149*C149+D218*C218+D311*C311+D380*C380+D448*C448+D519*C519+D583*C583</f>
        <v>20320</v>
      </c>
      <c r="E671" s="300">
        <v>4</v>
      </c>
      <c r="F671" s="276">
        <f aca="true" t="shared" si="72" ref="F671:O671">F28+F88+F149+F218+F311+F380+F448+F519+F583</f>
        <v>0</v>
      </c>
      <c r="G671" s="276">
        <f t="shared" si="72"/>
        <v>0</v>
      </c>
      <c r="H671" s="276">
        <f t="shared" si="72"/>
        <v>0</v>
      </c>
      <c r="I671" s="276">
        <f t="shared" si="72"/>
        <v>0</v>
      </c>
      <c r="J671" s="276">
        <f t="shared" si="72"/>
        <v>0</v>
      </c>
      <c r="K671" s="276">
        <f t="shared" si="72"/>
        <v>0</v>
      </c>
      <c r="L671" s="276">
        <f t="shared" si="72"/>
        <v>0</v>
      </c>
      <c r="M671" s="276">
        <f t="shared" si="72"/>
        <v>0</v>
      </c>
      <c r="N671" s="276">
        <f t="shared" si="72"/>
        <v>0</v>
      </c>
      <c r="O671" s="276">
        <f t="shared" si="72"/>
        <v>20320</v>
      </c>
      <c r="P671" s="276">
        <f>P28+P88+P149+P218+P311+P380+P448+P519+P583</f>
        <v>11680</v>
      </c>
      <c r="Q671" s="233">
        <f t="shared" si="57"/>
        <v>32000</v>
      </c>
      <c r="R671" s="84">
        <f>R28+R88+R149+R218+R311+R380+R448+R519+R583</f>
        <v>243840</v>
      </c>
    </row>
    <row r="672" spans="1:18" ht="16.5" customHeight="1" hidden="1">
      <c r="A672" s="174">
        <v>14</v>
      </c>
      <c r="B672" s="162" t="s">
        <v>27</v>
      </c>
      <c r="C672" s="84">
        <f>C30+C90+C150+C219+C312+C381+C450+C520+C584</f>
        <v>24.5</v>
      </c>
      <c r="D672" s="84">
        <f>D30*C30+D90*C90+D150*C150+D219*C219+D312*C312+D381*C381+D450*C450+D520*C520</f>
        <v>37932</v>
      </c>
      <c r="E672" s="300">
        <v>2</v>
      </c>
      <c r="F672" s="84">
        <f aca="true" t="shared" si="73" ref="F672:O672">F30+F90+F150+F219+F312+F381+F450+F520+F584</f>
        <v>0</v>
      </c>
      <c r="G672" s="84">
        <f t="shared" si="73"/>
        <v>0</v>
      </c>
      <c r="H672" s="84">
        <f t="shared" si="73"/>
        <v>0</v>
      </c>
      <c r="I672" s="84">
        <f t="shared" si="73"/>
        <v>0</v>
      </c>
      <c r="J672" s="84">
        <f t="shared" si="73"/>
        <v>0</v>
      </c>
      <c r="K672" s="84">
        <f t="shared" si="73"/>
        <v>0</v>
      </c>
      <c r="L672" s="84">
        <f t="shared" si="73"/>
        <v>0</v>
      </c>
      <c r="M672" s="84">
        <f t="shared" si="73"/>
        <v>17091.2</v>
      </c>
      <c r="N672" s="84">
        <f t="shared" si="73"/>
        <v>0</v>
      </c>
      <c r="O672" s="84">
        <f t="shared" si="73"/>
        <v>59819.200000000004</v>
      </c>
      <c r="P672" s="84">
        <f>P30+P90+P150+P219+P312+P381+P450+P520+P584</f>
        <v>35672</v>
      </c>
      <c r="Q672" s="233">
        <f t="shared" si="57"/>
        <v>90695.2</v>
      </c>
      <c r="R672" s="84">
        <f>R584+R520+R450+R381+R312+R219+R150+R90+R30</f>
        <v>717830.3999999999</v>
      </c>
    </row>
    <row r="673" spans="1:18" ht="28.5" hidden="1">
      <c r="A673" s="174">
        <v>15</v>
      </c>
      <c r="B673" s="281" t="s">
        <v>193</v>
      </c>
      <c r="C673" s="84">
        <f>C31+C91+C151+C220+C313+C382+C451+C521+C585</f>
        <v>69.75</v>
      </c>
      <c r="D673" s="84">
        <f>D31*C31+D91*C91+D151*C151+D220*C220+D313*C313+D382*C382+D451*C451+D521*C521+D585*C585</f>
        <v>121644</v>
      </c>
      <c r="E673" s="300">
        <v>2</v>
      </c>
      <c r="F673" s="84">
        <f aca="true" t="shared" si="74" ref="F673:O673">F31+F91+F151+F220+F313+F382+F451+F521+F585</f>
        <v>0</v>
      </c>
      <c r="G673" s="84">
        <f t="shared" si="74"/>
        <v>0</v>
      </c>
      <c r="H673" s="84">
        <f t="shared" si="74"/>
        <v>0</v>
      </c>
      <c r="I673" s="84">
        <f t="shared" si="74"/>
        <v>0</v>
      </c>
      <c r="J673" s="84">
        <f t="shared" si="74"/>
        <v>0</v>
      </c>
      <c r="K673" s="84">
        <f t="shared" si="74"/>
        <v>0</v>
      </c>
      <c r="L673" s="84">
        <f t="shared" si="74"/>
        <v>11205.2</v>
      </c>
      <c r="M673" s="84">
        <f t="shared" si="74"/>
        <v>0</v>
      </c>
      <c r="N673" s="84">
        <f t="shared" si="74"/>
        <v>0</v>
      </c>
      <c r="O673" s="84">
        <f t="shared" si="74"/>
        <v>132849.19999999998</v>
      </c>
      <c r="P673" s="84">
        <f>P31+P91+P151+P220+P313+P382+P451+P521+P585</f>
        <v>101556</v>
      </c>
      <c r="Q673" s="233">
        <f t="shared" si="57"/>
        <v>234405.2</v>
      </c>
      <c r="R673" s="84">
        <f>R585+R521+R451+R382+R313+R220+R151+R91+R31</f>
        <v>1594190.4000000001</v>
      </c>
    </row>
    <row r="674" spans="1:18" ht="0.75" customHeight="1" hidden="1">
      <c r="A674" s="174">
        <v>16</v>
      </c>
      <c r="B674" s="162"/>
      <c r="C674" s="276"/>
      <c r="D674" s="278"/>
      <c r="E674" s="269"/>
      <c r="F674" s="84"/>
      <c r="G674" s="84"/>
      <c r="H674" s="84"/>
      <c r="I674" s="84"/>
      <c r="J674" s="84"/>
      <c r="K674" s="84"/>
      <c r="L674" s="84"/>
      <c r="M674" s="84"/>
      <c r="N674" s="84"/>
      <c r="O674" s="234"/>
      <c r="P674" s="234"/>
      <c r="Q674" s="233">
        <f t="shared" si="57"/>
        <v>0</v>
      </c>
      <c r="R674" s="234"/>
    </row>
    <row r="675" spans="1:19" ht="18" customHeight="1" hidden="1">
      <c r="A675" s="174">
        <v>16</v>
      </c>
      <c r="B675" s="162" t="s">
        <v>25</v>
      </c>
      <c r="C675" s="276">
        <f>C33+C94+C152+C222+C315+C385+C453+C522+C586</f>
        <v>22</v>
      </c>
      <c r="D675" s="276">
        <f>D33*C33+D94*C94+D152*C152+D222*C222+D315*C315+D385*C385+D453*C453+D522*C522+D586*C586</f>
        <v>48520</v>
      </c>
      <c r="E675" s="300">
        <v>5</v>
      </c>
      <c r="F675" s="276">
        <f aca="true" t="shared" si="75" ref="F675:P675">F33+F94+F152+F222+F315+F385+F453+F522+F586</f>
        <v>0</v>
      </c>
      <c r="G675" s="276">
        <f t="shared" si="75"/>
        <v>0</v>
      </c>
      <c r="H675" s="276">
        <f t="shared" si="75"/>
        <v>0</v>
      </c>
      <c r="I675" s="276">
        <f t="shared" si="75"/>
        <v>0</v>
      </c>
      <c r="J675" s="276">
        <f t="shared" si="75"/>
        <v>0</v>
      </c>
      <c r="K675" s="276">
        <f t="shared" si="75"/>
        <v>5822.400000000001</v>
      </c>
      <c r="L675" s="276">
        <f t="shared" si="75"/>
        <v>0</v>
      </c>
      <c r="M675" s="276">
        <f t="shared" si="75"/>
        <v>0</v>
      </c>
      <c r="N675" s="276">
        <f t="shared" si="75"/>
        <v>10353.2</v>
      </c>
      <c r="O675" s="276">
        <f t="shared" si="75"/>
        <v>64695.6</v>
      </c>
      <c r="P675" s="276">
        <f t="shared" si="75"/>
        <v>15426.559999999996</v>
      </c>
      <c r="Q675" s="233">
        <f t="shared" si="57"/>
        <v>80122.16</v>
      </c>
      <c r="R675" s="84">
        <f>R586+R522+R453+R385+R315+R222+R152+R94+R33</f>
        <v>776347.2000000001</v>
      </c>
      <c r="S675" s="3">
        <v>19358.4</v>
      </c>
    </row>
    <row r="676" spans="1:19" ht="14.25" customHeight="1" hidden="1">
      <c r="A676" s="199">
        <v>17</v>
      </c>
      <c r="B676" s="237" t="s">
        <v>151</v>
      </c>
      <c r="C676" s="259">
        <f>C34+C95+C153+C223+C316+C386+C454+C523+C587</f>
        <v>9</v>
      </c>
      <c r="D676" s="259">
        <f>D34+D95+D153+D223+D316+D386+D454+D523+D587</f>
        <v>14400</v>
      </c>
      <c r="E676" s="426">
        <v>1</v>
      </c>
      <c r="F676" s="259">
        <f aca="true" t="shared" si="76" ref="F676:P676">F34+F95+F153+F223+F316+F386+F454+F523+F587</f>
        <v>0</v>
      </c>
      <c r="G676" s="259">
        <f t="shared" si="76"/>
        <v>0</v>
      </c>
      <c r="H676" s="259">
        <f t="shared" si="76"/>
        <v>0</v>
      </c>
      <c r="I676" s="259">
        <f t="shared" si="76"/>
        <v>0</v>
      </c>
      <c r="J676" s="259">
        <f t="shared" si="76"/>
        <v>0</v>
      </c>
      <c r="K676" s="259">
        <f t="shared" si="76"/>
        <v>1728</v>
      </c>
      <c r="L676" s="259">
        <f t="shared" si="76"/>
        <v>0</v>
      </c>
      <c r="M676" s="259">
        <f t="shared" si="76"/>
        <v>0</v>
      </c>
      <c r="N676" s="259">
        <f t="shared" si="76"/>
        <v>2160</v>
      </c>
      <c r="O676" s="259">
        <f t="shared" si="76"/>
        <v>18288</v>
      </c>
      <c r="P676" s="259">
        <f t="shared" si="76"/>
        <v>12624</v>
      </c>
      <c r="Q676" s="233">
        <f t="shared" si="57"/>
        <v>30912</v>
      </c>
      <c r="R676" s="84">
        <f>R587+R523+R454+R386+R316+R223+R153+R95+R34</f>
        <v>219456</v>
      </c>
      <c r="S676" s="3">
        <v>6987.99</v>
      </c>
    </row>
    <row r="677" spans="1:18" ht="15.75" customHeight="1" hidden="1">
      <c r="A677" s="427"/>
      <c r="B677" s="162" t="s">
        <v>30</v>
      </c>
      <c r="C677" s="276">
        <f>C29+C89+C158+C224+C310+C387+C449+C528+C592</f>
        <v>7.5</v>
      </c>
      <c r="D677" s="276">
        <f>D29+D89+D158+D224+D310+D387+D449+D528*C528+D592*C592</f>
        <v>12000</v>
      </c>
      <c r="E677" s="300">
        <v>1</v>
      </c>
      <c r="F677" s="276">
        <f aca="true" t="shared" si="77" ref="F677:P677">F29+F89+F158+F224+F310+F387+F449+F528+F592</f>
        <v>0</v>
      </c>
      <c r="G677" s="276">
        <f t="shared" si="77"/>
        <v>0</v>
      </c>
      <c r="H677" s="276">
        <f t="shared" si="77"/>
        <v>0</v>
      </c>
      <c r="I677" s="276">
        <f t="shared" si="77"/>
        <v>0</v>
      </c>
      <c r="J677" s="276">
        <f t="shared" si="77"/>
        <v>0</v>
      </c>
      <c r="K677" s="276">
        <f t="shared" si="77"/>
        <v>0</v>
      </c>
      <c r="L677" s="276">
        <f t="shared" si="77"/>
        <v>0</v>
      </c>
      <c r="M677" s="276">
        <f t="shared" si="77"/>
        <v>0</v>
      </c>
      <c r="N677" s="276">
        <f t="shared" si="77"/>
        <v>0</v>
      </c>
      <c r="O677" s="276">
        <f t="shared" si="77"/>
        <v>12000</v>
      </c>
      <c r="P677" s="276">
        <f t="shared" si="77"/>
        <v>12000</v>
      </c>
      <c r="Q677" s="233">
        <f t="shared" si="57"/>
        <v>24000</v>
      </c>
      <c r="R677" s="84">
        <f>R29+R89+R158+R224+R310+R387+R449+R528+R592</f>
        <v>144000</v>
      </c>
    </row>
    <row r="678" spans="1:18" ht="19.5" customHeight="1" hidden="1">
      <c r="A678" s="427"/>
      <c r="B678" s="162" t="s">
        <v>31</v>
      </c>
      <c r="C678" s="276">
        <f>C35+C96+C155+C319+C388+C455+C527+C591+C227</f>
        <v>8</v>
      </c>
      <c r="D678" s="276">
        <f>D35+D96+D155+D227+D319+D388+D455+D527*C527+D591*C591</f>
        <v>13952</v>
      </c>
      <c r="E678" s="300">
        <v>2</v>
      </c>
      <c r="F678" s="276">
        <f aca="true" t="shared" si="78" ref="F678:P678">F35+F96+F155+F319+F388+F455+F527+F591+F227</f>
        <v>0</v>
      </c>
      <c r="G678" s="276">
        <f t="shared" si="78"/>
        <v>0</v>
      </c>
      <c r="H678" s="276">
        <f t="shared" si="78"/>
        <v>0</v>
      </c>
      <c r="I678" s="276">
        <f t="shared" si="78"/>
        <v>0</v>
      </c>
      <c r="J678" s="276">
        <f t="shared" si="78"/>
        <v>0</v>
      </c>
      <c r="K678" s="276">
        <f t="shared" si="78"/>
        <v>0</v>
      </c>
      <c r="L678" s="276">
        <f t="shared" si="78"/>
        <v>0</v>
      </c>
      <c r="M678" s="276">
        <f t="shared" si="78"/>
        <v>0</v>
      </c>
      <c r="N678" s="276">
        <f t="shared" si="78"/>
        <v>0</v>
      </c>
      <c r="O678" s="276">
        <f t="shared" si="78"/>
        <v>13952</v>
      </c>
      <c r="P678" s="276">
        <f t="shared" si="78"/>
        <v>11648</v>
      </c>
      <c r="Q678" s="233">
        <f t="shared" si="57"/>
        <v>25600</v>
      </c>
      <c r="R678" s="84">
        <f>R35+R96+R155+R227+R319+R388+R455+R527+R591</f>
        <v>146496</v>
      </c>
    </row>
    <row r="679" spans="1:18" ht="21" customHeight="1" hidden="1" thickBot="1">
      <c r="A679" s="428"/>
      <c r="B679" s="237" t="s">
        <v>296</v>
      </c>
      <c r="C679" s="259">
        <f>C225</f>
        <v>0</v>
      </c>
      <c r="D679" s="259">
        <f aca="true" t="shared" si="79" ref="D679:P679">D225</f>
        <v>0</v>
      </c>
      <c r="E679" s="426">
        <f t="shared" si="79"/>
        <v>0</v>
      </c>
      <c r="F679" s="259">
        <f t="shared" si="79"/>
        <v>0</v>
      </c>
      <c r="G679" s="259">
        <f t="shared" si="79"/>
        <v>0</v>
      </c>
      <c r="H679" s="259">
        <f t="shared" si="79"/>
        <v>0</v>
      </c>
      <c r="I679" s="259">
        <f t="shared" si="79"/>
        <v>0</v>
      </c>
      <c r="J679" s="259">
        <f t="shared" si="79"/>
        <v>0</v>
      </c>
      <c r="K679" s="259">
        <f t="shared" si="79"/>
        <v>0</v>
      </c>
      <c r="L679" s="259">
        <f t="shared" si="79"/>
        <v>0</v>
      </c>
      <c r="M679" s="259">
        <f t="shared" si="79"/>
        <v>0</v>
      </c>
      <c r="N679" s="259">
        <f t="shared" si="79"/>
        <v>0</v>
      </c>
      <c r="O679" s="259">
        <f t="shared" si="79"/>
        <v>0</v>
      </c>
      <c r="P679" s="259">
        <f t="shared" si="79"/>
        <v>0</v>
      </c>
      <c r="Q679" s="233">
        <f t="shared" si="57"/>
        <v>0</v>
      </c>
      <c r="R679" s="265">
        <f>R225</f>
        <v>0</v>
      </c>
    </row>
    <row r="680" spans="1:18" ht="16.5" customHeight="1" hidden="1">
      <c r="A680" s="427"/>
      <c r="B680" s="162" t="s">
        <v>106</v>
      </c>
      <c r="C680" s="276">
        <f>C383+C456</f>
        <v>2</v>
      </c>
      <c r="D680" s="276">
        <f aca="true" t="shared" si="80" ref="D680:P680">D383+D456</f>
        <v>4064</v>
      </c>
      <c r="E680" s="300">
        <v>4</v>
      </c>
      <c r="F680" s="276">
        <f t="shared" si="80"/>
        <v>0</v>
      </c>
      <c r="G680" s="276">
        <f t="shared" si="80"/>
        <v>0</v>
      </c>
      <c r="H680" s="276">
        <f t="shared" si="80"/>
        <v>0</v>
      </c>
      <c r="I680" s="276">
        <f t="shared" si="80"/>
        <v>0</v>
      </c>
      <c r="J680" s="276">
        <f t="shared" si="80"/>
        <v>0</v>
      </c>
      <c r="K680" s="276">
        <f t="shared" si="80"/>
        <v>0</v>
      </c>
      <c r="L680" s="276">
        <f t="shared" si="80"/>
        <v>0</v>
      </c>
      <c r="M680" s="276">
        <f t="shared" si="80"/>
        <v>1625.6000000000001</v>
      </c>
      <c r="N680" s="276">
        <f t="shared" si="80"/>
        <v>0</v>
      </c>
      <c r="O680" s="276">
        <f t="shared" si="80"/>
        <v>5689.6</v>
      </c>
      <c r="P680" s="276">
        <f t="shared" si="80"/>
        <v>2336</v>
      </c>
      <c r="Q680" s="233">
        <f t="shared" si="57"/>
        <v>8025.6</v>
      </c>
      <c r="R680" s="84">
        <f>R456+R383</f>
        <v>68275.20000000001</v>
      </c>
    </row>
    <row r="681" spans="1:18" ht="30" customHeight="1" hidden="1">
      <c r="A681" s="427"/>
      <c r="B681" s="280" t="s">
        <v>107</v>
      </c>
      <c r="C681" s="276">
        <f>C384+C457</f>
        <v>0</v>
      </c>
      <c r="D681" s="276">
        <f>D384*C384+D457*C457</f>
        <v>0</v>
      </c>
      <c r="E681" s="300">
        <v>3</v>
      </c>
      <c r="F681" s="276">
        <f aca="true" t="shared" si="81" ref="F681:P681">F384+F457</f>
        <v>0</v>
      </c>
      <c r="G681" s="276">
        <f t="shared" si="81"/>
        <v>0</v>
      </c>
      <c r="H681" s="276">
        <f t="shared" si="81"/>
        <v>0</v>
      </c>
      <c r="I681" s="276">
        <f t="shared" si="81"/>
        <v>0</v>
      </c>
      <c r="J681" s="276">
        <f t="shared" si="81"/>
        <v>0</v>
      </c>
      <c r="K681" s="276">
        <f t="shared" si="81"/>
        <v>0</v>
      </c>
      <c r="L681" s="276">
        <f t="shared" si="81"/>
        <v>0</v>
      </c>
      <c r="M681" s="276">
        <f t="shared" si="81"/>
        <v>0</v>
      </c>
      <c r="N681" s="276">
        <f t="shared" si="81"/>
        <v>0</v>
      </c>
      <c r="O681" s="276">
        <f t="shared" si="81"/>
        <v>0</v>
      </c>
      <c r="P681" s="276">
        <f t="shared" si="81"/>
        <v>0</v>
      </c>
      <c r="Q681" s="233">
        <f t="shared" si="57"/>
        <v>0</v>
      </c>
      <c r="R681" s="84">
        <f>R384+R457</f>
        <v>0</v>
      </c>
    </row>
    <row r="682" spans="1:18" ht="18.75" customHeight="1" hidden="1">
      <c r="A682" s="427"/>
      <c r="B682" s="279" t="s">
        <v>196</v>
      </c>
      <c r="C682" s="276">
        <f>C517+C581</f>
        <v>2</v>
      </c>
      <c r="D682" s="276">
        <f aca="true" t="shared" si="82" ref="D682:P682">D517+D581</f>
        <v>3200</v>
      </c>
      <c r="E682" s="300">
        <v>1</v>
      </c>
      <c r="F682" s="276">
        <f t="shared" si="82"/>
        <v>0</v>
      </c>
      <c r="G682" s="276">
        <f t="shared" si="82"/>
        <v>0</v>
      </c>
      <c r="H682" s="276">
        <f t="shared" si="82"/>
        <v>0</v>
      </c>
      <c r="I682" s="276">
        <f t="shared" si="82"/>
        <v>0</v>
      </c>
      <c r="J682" s="276">
        <f t="shared" si="82"/>
        <v>0</v>
      </c>
      <c r="K682" s="276">
        <f t="shared" si="82"/>
        <v>384</v>
      </c>
      <c r="L682" s="276">
        <f t="shared" si="82"/>
        <v>0</v>
      </c>
      <c r="M682" s="276">
        <f t="shared" si="82"/>
        <v>1280</v>
      </c>
      <c r="N682" s="276">
        <f t="shared" si="82"/>
        <v>0</v>
      </c>
      <c r="O682" s="276">
        <f t="shared" si="82"/>
        <v>4864</v>
      </c>
      <c r="P682" s="276">
        <f t="shared" si="82"/>
        <v>2816</v>
      </c>
      <c r="Q682" s="233">
        <f t="shared" si="57"/>
        <v>7680</v>
      </c>
      <c r="R682" s="84">
        <f>R581+R517</f>
        <v>58368</v>
      </c>
    </row>
    <row r="683" spans="1:18" ht="18.75" customHeight="1" hidden="1">
      <c r="A683" s="427"/>
      <c r="B683" s="279" t="s">
        <v>254</v>
      </c>
      <c r="C683" s="276"/>
      <c r="D683" s="276">
        <f>D518*C518+D582*C582</f>
        <v>9600</v>
      </c>
      <c r="E683" s="300">
        <v>1</v>
      </c>
      <c r="F683" s="276">
        <f aca="true" t="shared" si="83" ref="F683:P683">F582+F518</f>
        <v>0</v>
      </c>
      <c r="G683" s="276">
        <f t="shared" si="83"/>
        <v>0</v>
      </c>
      <c r="H683" s="276">
        <f t="shared" si="83"/>
        <v>0</v>
      </c>
      <c r="I683" s="276">
        <f t="shared" si="83"/>
        <v>0</v>
      </c>
      <c r="J683" s="276">
        <f t="shared" si="83"/>
        <v>0</v>
      </c>
      <c r="K683" s="276">
        <f t="shared" si="83"/>
        <v>1152</v>
      </c>
      <c r="L683" s="276">
        <f t="shared" si="83"/>
        <v>0</v>
      </c>
      <c r="M683" s="276">
        <f t="shared" si="83"/>
        <v>3840</v>
      </c>
      <c r="N683" s="276">
        <f t="shared" si="83"/>
        <v>0</v>
      </c>
      <c r="O683" s="276">
        <f t="shared" si="83"/>
        <v>14592</v>
      </c>
      <c r="P683" s="276">
        <f t="shared" si="83"/>
        <v>8448</v>
      </c>
      <c r="Q683" s="233">
        <f t="shared" si="57"/>
        <v>23040</v>
      </c>
      <c r="R683" s="84">
        <f>R582+R518</f>
        <v>87552</v>
      </c>
    </row>
    <row r="684" spans="1:18" ht="33.75" customHeight="1" hidden="1">
      <c r="A684" s="427"/>
      <c r="B684" s="309" t="s">
        <v>75</v>
      </c>
      <c r="C684" s="259">
        <f>C92</f>
        <v>1</v>
      </c>
      <c r="D684" s="259">
        <f aca="true" t="shared" si="84" ref="D684:P684">D92</f>
        <v>1744</v>
      </c>
      <c r="E684" s="426">
        <f t="shared" si="84"/>
        <v>4</v>
      </c>
      <c r="F684" s="259">
        <f t="shared" si="84"/>
        <v>0</v>
      </c>
      <c r="G684" s="259">
        <f t="shared" si="84"/>
        <v>0</v>
      </c>
      <c r="H684" s="259">
        <f t="shared" si="84"/>
        <v>0</v>
      </c>
      <c r="I684" s="259">
        <f t="shared" si="84"/>
        <v>0</v>
      </c>
      <c r="J684" s="259">
        <f t="shared" si="84"/>
        <v>0</v>
      </c>
      <c r="K684" s="259">
        <f t="shared" si="84"/>
        <v>0</v>
      </c>
      <c r="L684" s="259">
        <f t="shared" si="84"/>
        <v>0</v>
      </c>
      <c r="M684" s="259">
        <f t="shared" si="84"/>
        <v>0</v>
      </c>
      <c r="N684" s="259">
        <f t="shared" si="84"/>
        <v>0</v>
      </c>
      <c r="O684" s="259">
        <f t="shared" si="84"/>
        <v>1744</v>
      </c>
      <c r="P684" s="259">
        <f t="shared" si="84"/>
        <v>1456</v>
      </c>
      <c r="Q684" s="233">
        <f t="shared" si="57"/>
        <v>3200</v>
      </c>
      <c r="R684" s="84">
        <f>R383</f>
        <v>34137.600000000006</v>
      </c>
    </row>
    <row r="685" spans="1:18" ht="22.5" customHeight="1" hidden="1">
      <c r="A685" s="427"/>
      <c r="B685" s="429" t="s">
        <v>220</v>
      </c>
      <c r="C685" s="276">
        <f>C239+C300</f>
        <v>1</v>
      </c>
      <c r="D685" s="276">
        <f aca="true" t="shared" si="85" ref="D685:R685">D239+D300</f>
        <v>3392</v>
      </c>
      <c r="E685" s="276">
        <f t="shared" si="85"/>
        <v>12</v>
      </c>
      <c r="F685" s="276">
        <f t="shared" si="85"/>
        <v>678.4000000000001</v>
      </c>
      <c r="G685" s="276">
        <f t="shared" si="85"/>
        <v>169.60000000000002</v>
      </c>
      <c r="H685" s="276">
        <f t="shared" si="85"/>
        <v>0</v>
      </c>
      <c r="I685" s="276">
        <f t="shared" si="85"/>
        <v>0</v>
      </c>
      <c r="J685" s="276">
        <f t="shared" si="85"/>
        <v>0</v>
      </c>
      <c r="K685" s="276">
        <f t="shared" si="85"/>
        <v>0</v>
      </c>
      <c r="L685" s="276">
        <f t="shared" si="85"/>
        <v>0</v>
      </c>
      <c r="M685" s="276">
        <f t="shared" si="85"/>
        <v>0</v>
      </c>
      <c r="N685" s="276">
        <f t="shared" si="85"/>
        <v>0</v>
      </c>
      <c r="O685" s="276">
        <f t="shared" si="85"/>
        <v>4240</v>
      </c>
      <c r="P685" s="276">
        <f t="shared" si="85"/>
        <v>0</v>
      </c>
      <c r="Q685" s="276">
        <f t="shared" si="85"/>
        <v>4240</v>
      </c>
      <c r="R685" s="276">
        <f t="shared" si="85"/>
        <v>50880</v>
      </c>
    </row>
    <row r="686" spans="1:18" ht="30" customHeight="1" hidden="1">
      <c r="A686" s="427"/>
      <c r="B686" s="321" t="s">
        <v>283</v>
      </c>
      <c r="C686" s="253">
        <f>C458+C524+C589</f>
        <v>4</v>
      </c>
      <c r="D686" s="253">
        <f aca="true" t="shared" si="86" ref="D686:R686">D458+D524+D589</f>
        <v>9936</v>
      </c>
      <c r="E686" s="253">
        <f t="shared" si="86"/>
        <v>35</v>
      </c>
      <c r="F686" s="253">
        <f t="shared" si="86"/>
        <v>3074.8</v>
      </c>
      <c r="G686" s="253">
        <f t="shared" si="86"/>
        <v>787.2</v>
      </c>
      <c r="H686" s="253">
        <f t="shared" si="86"/>
        <v>0</v>
      </c>
      <c r="I686" s="253">
        <f t="shared" si="86"/>
        <v>1936</v>
      </c>
      <c r="J686" s="253">
        <f t="shared" si="86"/>
        <v>0</v>
      </c>
      <c r="K686" s="253">
        <f t="shared" si="86"/>
        <v>0</v>
      </c>
      <c r="L686" s="253">
        <f t="shared" si="86"/>
        <v>0</v>
      </c>
      <c r="M686" s="253">
        <f t="shared" si="86"/>
        <v>0</v>
      </c>
      <c r="N686" s="253">
        <f t="shared" si="86"/>
        <v>0</v>
      </c>
      <c r="O686" s="253">
        <f t="shared" si="86"/>
        <v>19606</v>
      </c>
      <c r="P686" s="253">
        <f t="shared" si="86"/>
        <v>0</v>
      </c>
      <c r="Q686" s="253">
        <f t="shared" si="86"/>
        <v>19606</v>
      </c>
      <c r="R686" s="253">
        <f t="shared" si="86"/>
        <v>159477.6</v>
      </c>
    </row>
    <row r="687" spans="1:18" ht="30" customHeight="1" hidden="1" thickBot="1">
      <c r="A687" s="427"/>
      <c r="B687" s="321" t="s">
        <v>351</v>
      </c>
      <c r="C687" s="259">
        <f>C590+C525</f>
        <v>2</v>
      </c>
      <c r="D687" s="259">
        <f aca="true" t="shared" si="87" ref="D687:R687">D590+D525</f>
        <v>4640</v>
      </c>
      <c r="E687" s="259">
        <f t="shared" si="87"/>
        <v>12</v>
      </c>
      <c r="F687" s="259">
        <f t="shared" si="87"/>
        <v>0</v>
      </c>
      <c r="G687" s="259">
        <f t="shared" si="87"/>
        <v>0</v>
      </c>
      <c r="H687" s="259">
        <f t="shared" si="87"/>
        <v>0</v>
      </c>
      <c r="I687" s="259">
        <f t="shared" si="87"/>
        <v>0</v>
      </c>
      <c r="J687" s="259">
        <f t="shared" si="87"/>
        <v>0</v>
      </c>
      <c r="K687" s="259">
        <f t="shared" si="87"/>
        <v>0</v>
      </c>
      <c r="L687" s="259">
        <f t="shared" si="87"/>
        <v>0</v>
      </c>
      <c r="M687" s="259">
        <f t="shared" si="87"/>
        <v>0</v>
      </c>
      <c r="N687" s="259">
        <f t="shared" si="87"/>
        <v>0</v>
      </c>
      <c r="O687" s="259">
        <f t="shared" si="87"/>
        <v>4640</v>
      </c>
      <c r="P687" s="259">
        <f t="shared" si="87"/>
        <v>1760</v>
      </c>
      <c r="Q687" s="233">
        <f t="shared" si="57"/>
        <v>6400</v>
      </c>
      <c r="R687" s="259">
        <f t="shared" si="87"/>
        <v>55680</v>
      </c>
    </row>
    <row r="688" spans="1:18" ht="13.5" customHeight="1" hidden="1" thickBot="1">
      <c r="A688" s="460"/>
      <c r="B688" s="461" t="s">
        <v>291</v>
      </c>
      <c r="C688" s="462"/>
      <c r="D688" s="463"/>
      <c r="E688" s="464"/>
      <c r="F688" s="465"/>
      <c r="G688" s="465"/>
      <c r="H688" s="465"/>
      <c r="I688" s="465"/>
      <c r="J688" s="465"/>
      <c r="K688" s="466"/>
      <c r="L688" s="465"/>
      <c r="M688" s="465"/>
      <c r="N688" s="465"/>
      <c r="O688" s="465"/>
      <c r="P688" s="465"/>
      <c r="Q688" s="25">
        <f t="shared" si="57"/>
        <v>0</v>
      </c>
      <c r="R688" s="467"/>
    </row>
    <row r="689" spans="1:18" ht="30.75" customHeight="1" hidden="1">
      <c r="A689" s="21"/>
      <c r="B689" s="425" t="s">
        <v>130</v>
      </c>
      <c r="C689" s="185">
        <f>C229</f>
        <v>1</v>
      </c>
      <c r="D689" s="185">
        <f aca="true" t="shared" si="88" ref="D689:P689">D229</f>
        <v>4560</v>
      </c>
      <c r="E689" s="419" t="str">
        <f t="shared" si="88"/>
        <v>95%</v>
      </c>
      <c r="F689" s="185">
        <f t="shared" si="88"/>
        <v>912</v>
      </c>
      <c r="G689" s="185">
        <f t="shared" si="88"/>
        <v>228</v>
      </c>
      <c r="H689" s="185">
        <f t="shared" si="88"/>
        <v>0</v>
      </c>
      <c r="I689" s="185">
        <f t="shared" si="88"/>
        <v>0</v>
      </c>
      <c r="J689" s="185">
        <f t="shared" si="88"/>
        <v>0</v>
      </c>
      <c r="K689" s="185">
        <f t="shared" si="88"/>
        <v>0</v>
      </c>
      <c r="L689" s="185">
        <f t="shared" si="88"/>
        <v>0</v>
      </c>
      <c r="M689" s="185">
        <f t="shared" si="88"/>
        <v>0</v>
      </c>
      <c r="N689" s="185">
        <f t="shared" si="88"/>
        <v>0</v>
      </c>
      <c r="O689" s="185">
        <f t="shared" si="88"/>
        <v>5700</v>
      </c>
      <c r="P689" s="185">
        <f t="shared" si="88"/>
        <v>0</v>
      </c>
      <c r="Q689" s="233">
        <f t="shared" si="57"/>
        <v>5700</v>
      </c>
      <c r="R689" s="416">
        <f>R229</f>
        <v>68400</v>
      </c>
    </row>
    <row r="690" spans="1:18" ht="18.75" customHeight="1" hidden="1">
      <c r="A690" s="30"/>
      <c r="B690" s="177" t="s">
        <v>320</v>
      </c>
      <c r="C690" s="178">
        <f>C231</f>
        <v>1</v>
      </c>
      <c r="D690" s="178">
        <f aca="true" t="shared" si="89" ref="D690:P690">D231</f>
        <v>2624</v>
      </c>
      <c r="E690" s="420">
        <f t="shared" si="89"/>
        <v>8</v>
      </c>
      <c r="F690" s="178">
        <f t="shared" si="89"/>
        <v>0</v>
      </c>
      <c r="G690" s="178">
        <f t="shared" si="89"/>
        <v>0</v>
      </c>
      <c r="H690" s="178">
        <f t="shared" si="89"/>
        <v>0</v>
      </c>
      <c r="I690" s="178">
        <f t="shared" si="89"/>
        <v>0</v>
      </c>
      <c r="J690" s="178">
        <f t="shared" si="89"/>
        <v>0</v>
      </c>
      <c r="K690" s="178">
        <f t="shared" si="89"/>
        <v>0</v>
      </c>
      <c r="L690" s="178">
        <f t="shared" si="89"/>
        <v>0</v>
      </c>
      <c r="M690" s="178">
        <f t="shared" si="89"/>
        <v>0</v>
      </c>
      <c r="N690" s="178">
        <f t="shared" si="89"/>
        <v>0</v>
      </c>
      <c r="O690" s="178">
        <f t="shared" si="89"/>
        <v>2624</v>
      </c>
      <c r="P690" s="178">
        <f t="shared" si="89"/>
        <v>576</v>
      </c>
      <c r="Q690" s="233">
        <f t="shared" si="57"/>
        <v>3200</v>
      </c>
      <c r="R690" s="179">
        <f>R231</f>
        <v>31488</v>
      </c>
    </row>
    <row r="691" spans="1:18" ht="17.25" customHeight="1" hidden="1">
      <c r="A691" s="30"/>
      <c r="B691" s="184" t="s">
        <v>295</v>
      </c>
      <c r="C691" s="185">
        <f>C390+C230</f>
        <v>1</v>
      </c>
      <c r="D691" s="185">
        <f aca="true" t="shared" si="90" ref="D691:R691">D390+D230</f>
        <v>6784</v>
      </c>
      <c r="E691" s="185">
        <v>12</v>
      </c>
      <c r="F691" s="185">
        <f t="shared" si="90"/>
        <v>993.6000000000001</v>
      </c>
      <c r="G691" s="185">
        <f t="shared" si="90"/>
        <v>248.40000000000003</v>
      </c>
      <c r="H691" s="185">
        <f t="shared" si="90"/>
        <v>0</v>
      </c>
      <c r="I691" s="185">
        <f t="shared" si="90"/>
        <v>0</v>
      </c>
      <c r="J691" s="185">
        <f t="shared" si="90"/>
        <v>0</v>
      </c>
      <c r="K691" s="185">
        <f t="shared" si="90"/>
        <v>0</v>
      </c>
      <c r="L691" s="185">
        <f t="shared" si="90"/>
        <v>0</v>
      </c>
      <c r="M691" s="185">
        <f t="shared" si="90"/>
        <v>0</v>
      </c>
      <c r="N691" s="185">
        <f t="shared" si="90"/>
        <v>0</v>
      </c>
      <c r="O691" s="185">
        <f t="shared" si="90"/>
        <v>4634</v>
      </c>
      <c r="P691" s="185">
        <f t="shared" si="90"/>
        <v>0</v>
      </c>
      <c r="Q691" s="185">
        <f t="shared" si="90"/>
        <v>4634</v>
      </c>
      <c r="R691" s="185">
        <f t="shared" si="90"/>
        <v>55608</v>
      </c>
    </row>
    <row r="692" spans="1:18" ht="21.75" customHeight="1" hidden="1">
      <c r="A692" s="186">
        <v>18</v>
      </c>
      <c r="B692" s="184" t="s">
        <v>215</v>
      </c>
      <c r="C692" s="185">
        <f>C392+C233</f>
        <v>5</v>
      </c>
      <c r="D692" s="185">
        <f>D233*C233+D392*C392</f>
        <v>15568</v>
      </c>
      <c r="E692" s="419">
        <v>8</v>
      </c>
      <c r="F692" s="185">
        <f aca="true" t="shared" si="91" ref="F692:P692">F392+F233</f>
        <v>3356.33</v>
      </c>
      <c r="G692" s="185">
        <f t="shared" si="91"/>
        <v>799.1600000000001</v>
      </c>
      <c r="H692" s="185">
        <f t="shared" si="91"/>
        <v>0</v>
      </c>
      <c r="I692" s="185">
        <f t="shared" si="91"/>
        <v>415.20000000000005</v>
      </c>
      <c r="J692" s="185">
        <f t="shared" si="91"/>
        <v>0</v>
      </c>
      <c r="K692" s="185">
        <f t="shared" si="91"/>
        <v>0</v>
      </c>
      <c r="L692" s="185">
        <f t="shared" si="91"/>
        <v>0</v>
      </c>
      <c r="M692" s="185">
        <f t="shared" si="91"/>
        <v>0</v>
      </c>
      <c r="N692" s="185">
        <f t="shared" si="91"/>
        <v>0</v>
      </c>
      <c r="O692" s="185">
        <f t="shared" si="91"/>
        <v>20138.690000000002</v>
      </c>
      <c r="P692" s="185">
        <f t="shared" si="91"/>
        <v>0</v>
      </c>
      <c r="Q692" s="233">
        <f t="shared" si="57"/>
        <v>20138.690000000002</v>
      </c>
      <c r="R692" s="416">
        <f>R233+R392</f>
        <v>241664.28000000003</v>
      </c>
    </row>
    <row r="693" spans="1:23" ht="21" customHeight="1" hidden="1">
      <c r="A693" s="182">
        <v>19</v>
      </c>
      <c r="B693" s="177" t="s">
        <v>216</v>
      </c>
      <c r="C693" s="178">
        <f>C234+C393</f>
        <v>2.5</v>
      </c>
      <c r="D693" s="178">
        <f>D393*C393+D234*C234</f>
        <v>7136</v>
      </c>
      <c r="E693" s="420">
        <v>9</v>
      </c>
      <c r="F693" s="178">
        <f aca="true" t="shared" si="92" ref="F693:P693">F234+F393</f>
        <v>1922.4</v>
      </c>
      <c r="G693" s="178">
        <f t="shared" si="92"/>
        <v>356.8</v>
      </c>
      <c r="H693" s="178">
        <f t="shared" si="92"/>
        <v>0</v>
      </c>
      <c r="I693" s="178">
        <f t="shared" si="92"/>
        <v>0</v>
      </c>
      <c r="J693" s="178">
        <f t="shared" si="92"/>
        <v>0</v>
      </c>
      <c r="K693" s="178">
        <f t="shared" si="92"/>
        <v>0</v>
      </c>
      <c r="L693" s="178">
        <f t="shared" si="92"/>
        <v>0</v>
      </c>
      <c r="M693" s="178">
        <f t="shared" si="92"/>
        <v>0</v>
      </c>
      <c r="N693" s="178">
        <f t="shared" si="92"/>
        <v>0</v>
      </c>
      <c r="O693" s="178">
        <f t="shared" si="92"/>
        <v>9415.2</v>
      </c>
      <c r="P693" s="178">
        <f t="shared" si="92"/>
        <v>0</v>
      </c>
      <c r="Q693" s="25">
        <f t="shared" si="57"/>
        <v>9415.199999999999</v>
      </c>
      <c r="R693" s="179">
        <f>R234+R393</f>
        <v>112982.4</v>
      </c>
      <c r="W693" s="3" t="s">
        <v>269</v>
      </c>
    </row>
    <row r="694" spans="1:18" ht="19.5" customHeight="1" hidden="1">
      <c r="A694" s="182"/>
      <c r="B694" s="177" t="s">
        <v>34</v>
      </c>
      <c r="C694" s="178">
        <f>C391+C232</f>
        <v>2</v>
      </c>
      <c r="D694" s="178">
        <f>D232+D391</f>
        <v>7024</v>
      </c>
      <c r="E694" s="420">
        <v>10</v>
      </c>
      <c r="F694" s="178">
        <f aca="true" t="shared" si="93" ref="F694:P694">F391+F232</f>
        <v>1404.8000000000002</v>
      </c>
      <c r="G694" s="178">
        <f t="shared" si="93"/>
        <v>351.20000000000005</v>
      </c>
      <c r="H694" s="178">
        <f t="shared" si="93"/>
        <v>0</v>
      </c>
      <c r="I694" s="178">
        <f t="shared" si="93"/>
        <v>0</v>
      </c>
      <c r="J694" s="178">
        <f t="shared" si="93"/>
        <v>0</v>
      </c>
      <c r="K694" s="178">
        <f t="shared" si="93"/>
        <v>0</v>
      </c>
      <c r="L694" s="178">
        <f t="shared" si="93"/>
        <v>0</v>
      </c>
      <c r="M694" s="178">
        <f t="shared" si="93"/>
        <v>0</v>
      </c>
      <c r="N694" s="178">
        <f t="shared" si="93"/>
        <v>0</v>
      </c>
      <c r="O694" s="178">
        <f t="shared" si="93"/>
        <v>8780</v>
      </c>
      <c r="P694" s="178">
        <f t="shared" si="93"/>
        <v>0</v>
      </c>
      <c r="Q694" s="25">
        <f t="shared" si="57"/>
        <v>8780</v>
      </c>
      <c r="R694" s="179">
        <f>R232+R391</f>
        <v>105360</v>
      </c>
    </row>
    <row r="695" spans="1:23" ht="28.5" customHeight="1" hidden="1">
      <c r="A695" s="182">
        <v>20</v>
      </c>
      <c r="B695" s="180"/>
      <c r="C695" s="178"/>
      <c r="D695" s="178"/>
      <c r="E695" s="420"/>
      <c r="F695" s="178"/>
      <c r="G695" s="178"/>
      <c r="H695" s="178"/>
      <c r="I695" s="178"/>
      <c r="J695" s="178"/>
      <c r="K695" s="178"/>
      <c r="L695" s="178"/>
      <c r="M695" s="178"/>
      <c r="N695" s="178"/>
      <c r="O695" s="178"/>
      <c r="P695" s="178">
        <f>P589+P524+P317+P458</f>
        <v>0</v>
      </c>
      <c r="Q695" s="25">
        <f t="shared" si="57"/>
        <v>0</v>
      </c>
      <c r="R695" s="179"/>
      <c r="W695" s="3">
        <f>D654+D656*2+D658*C658+D659*C659+D661+D662*C662+D664*C664+D666+D667+D668+D669+D670*C670+D671+D672*2.75+D673*C673+D675*3+D676+D704</f>
        <v>10220929.6</v>
      </c>
    </row>
    <row r="696" spans="1:23" ht="17.25" customHeight="1" hidden="1">
      <c r="A696" s="182">
        <v>21</v>
      </c>
      <c r="B696" s="177" t="s">
        <v>95</v>
      </c>
      <c r="C696" s="179">
        <f>C236+C395</f>
        <v>11.5</v>
      </c>
      <c r="D696" s="179">
        <f>D236*C236+D395*C395</f>
        <v>40364</v>
      </c>
      <c r="E696" s="420" t="s">
        <v>346</v>
      </c>
      <c r="F696" s="179">
        <f aca="true" t="shared" si="94" ref="F696:P696">F236+F395</f>
        <v>9452.1514</v>
      </c>
      <c r="G696" s="179">
        <f t="shared" si="94"/>
        <v>2041.5485</v>
      </c>
      <c r="H696" s="179">
        <f t="shared" si="94"/>
        <v>0</v>
      </c>
      <c r="I696" s="179">
        <f t="shared" si="94"/>
        <v>466.97</v>
      </c>
      <c r="J696" s="179">
        <f t="shared" si="94"/>
        <v>0</v>
      </c>
      <c r="K696" s="179">
        <f t="shared" si="94"/>
        <v>0</v>
      </c>
      <c r="L696" s="179">
        <f t="shared" si="94"/>
        <v>0</v>
      </c>
      <c r="M696" s="179">
        <f t="shared" si="94"/>
        <v>0</v>
      </c>
      <c r="N696" s="179">
        <f t="shared" si="94"/>
        <v>0</v>
      </c>
      <c r="O696" s="179">
        <f t="shared" si="94"/>
        <v>52324.6699</v>
      </c>
      <c r="P696" s="179">
        <f t="shared" si="94"/>
        <v>0</v>
      </c>
      <c r="Q696" s="25">
        <f t="shared" si="57"/>
        <v>52324.6699</v>
      </c>
      <c r="R696" s="417">
        <f>O696*12</f>
        <v>627896.0388</v>
      </c>
      <c r="W696" s="3" t="s">
        <v>268</v>
      </c>
    </row>
    <row r="697" spans="1:23" ht="17.25" customHeight="1" hidden="1">
      <c r="A697" s="182">
        <v>22</v>
      </c>
      <c r="B697" s="177" t="s">
        <v>96</v>
      </c>
      <c r="C697" s="178">
        <f>C237+C396</f>
        <v>29.25</v>
      </c>
      <c r="D697" s="178">
        <f>D237*C237+D396*C396</f>
        <v>97695</v>
      </c>
      <c r="E697" s="420" t="s">
        <v>346</v>
      </c>
      <c r="F697" s="178">
        <f aca="true" t="shared" si="95" ref="F697:P697">F237+F396</f>
        <v>16781</v>
      </c>
      <c r="G697" s="178">
        <f t="shared" si="95"/>
        <v>4884.75</v>
      </c>
      <c r="H697" s="178">
        <f t="shared" si="95"/>
        <v>0</v>
      </c>
      <c r="I697" s="178">
        <f t="shared" si="95"/>
        <v>0</v>
      </c>
      <c r="J697" s="178">
        <f t="shared" si="95"/>
        <v>0</v>
      </c>
      <c r="K697" s="178">
        <f t="shared" si="95"/>
        <v>0</v>
      </c>
      <c r="L697" s="178">
        <f t="shared" si="95"/>
        <v>0</v>
      </c>
      <c r="M697" s="178">
        <f t="shared" si="95"/>
        <v>0</v>
      </c>
      <c r="N697" s="178">
        <f t="shared" si="95"/>
        <v>0</v>
      </c>
      <c r="O697" s="178">
        <f t="shared" si="95"/>
        <v>119360.75</v>
      </c>
      <c r="P697" s="178">
        <f t="shared" si="95"/>
        <v>0</v>
      </c>
      <c r="Q697" s="25">
        <f t="shared" si="57"/>
        <v>119360.75</v>
      </c>
      <c r="R697" s="179">
        <f>R237+R396</f>
        <v>1432329</v>
      </c>
      <c r="W697" s="3">
        <f>D656*0.5+D671*0.5+D672*2.75+D675*2+D676+D692+D693*C693+D695+D696*C696+D697*C697+D698*C698+D699+D701*C701+D702*C702+D703</f>
        <v>4497319.35</v>
      </c>
    </row>
    <row r="698" spans="1:18" ht="17.25" customHeight="1" hidden="1">
      <c r="A698" s="182" t="s">
        <v>252</v>
      </c>
      <c r="B698" s="177" t="s">
        <v>145</v>
      </c>
      <c r="C698" s="178">
        <f>C238+C397</f>
        <v>1</v>
      </c>
      <c r="D698" s="178">
        <f>D397*C397+D238*C238</f>
        <v>3392</v>
      </c>
      <c r="E698" s="420">
        <v>12</v>
      </c>
      <c r="F698" s="178">
        <f aca="true" t="shared" si="96" ref="F698:P698">F238+F397</f>
        <v>702.4</v>
      </c>
      <c r="G698" s="178">
        <f t="shared" si="96"/>
        <v>169.60000000000002</v>
      </c>
      <c r="H698" s="178">
        <f t="shared" si="96"/>
        <v>0</v>
      </c>
      <c r="I698" s="178">
        <f t="shared" si="96"/>
        <v>0</v>
      </c>
      <c r="J698" s="178">
        <f t="shared" si="96"/>
        <v>0</v>
      </c>
      <c r="K698" s="178">
        <f t="shared" si="96"/>
        <v>0</v>
      </c>
      <c r="L698" s="178">
        <f t="shared" si="96"/>
        <v>0</v>
      </c>
      <c r="M698" s="178">
        <f t="shared" si="96"/>
        <v>0</v>
      </c>
      <c r="N698" s="178">
        <f t="shared" si="96"/>
        <v>0</v>
      </c>
      <c r="O698" s="178">
        <f t="shared" si="96"/>
        <v>4264</v>
      </c>
      <c r="P698" s="178">
        <f t="shared" si="96"/>
        <v>0</v>
      </c>
      <c r="Q698" s="25">
        <f t="shared" si="57"/>
        <v>4264</v>
      </c>
      <c r="R698" s="179">
        <f>R238+R397</f>
        <v>51168</v>
      </c>
    </row>
    <row r="699" spans="1:18" ht="15" customHeight="1" hidden="1">
      <c r="A699" s="182">
        <v>23</v>
      </c>
      <c r="B699" s="177" t="s">
        <v>220</v>
      </c>
      <c r="C699" s="178">
        <f>C239+C398</f>
        <v>2</v>
      </c>
      <c r="D699" s="178">
        <f>D239+D398</f>
        <v>6544</v>
      </c>
      <c r="E699" s="420">
        <v>9</v>
      </c>
      <c r="F699" s="178">
        <f aca="true" t="shared" si="97" ref="F699:P699">F239+F398</f>
        <v>1308.8000000000002</v>
      </c>
      <c r="G699" s="178">
        <f t="shared" si="97"/>
        <v>327.20000000000005</v>
      </c>
      <c r="H699" s="178">
        <f t="shared" si="97"/>
        <v>0</v>
      </c>
      <c r="I699" s="178">
        <f t="shared" si="97"/>
        <v>0</v>
      </c>
      <c r="J699" s="178">
        <f t="shared" si="97"/>
        <v>0</v>
      </c>
      <c r="K699" s="178">
        <f t="shared" si="97"/>
        <v>0</v>
      </c>
      <c r="L699" s="178">
        <f t="shared" si="97"/>
        <v>0</v>
      </c>
      <c r="M699" s="178">
        <f t="shared" si="97"/>
        <v>0</v>
      </c>
      <c r="N699" s="178">
        <f t="shared" si="97"/>
        <v>0</v>
      </c>
      <c r="O699" s="178">
        <f t="shared" si="97"/>
        <v>8180</v>
      </c>
      <c r="P699" s="178">
        <f t="shared" si="97"/>
        <v>0</v>
      </c>
      <c r="Q699" s="25">
        <f t="shared" si="57"/>
        <v>8180</v>
      </c>
      <c r="R699" s="179">
        <f>R239+R398</f>
        <v>98160</v>
      </c>
    </row>
    <row r="700" spans="1:18" ht="21" customHeight="1" hidden="1">
      <c r="A700" s="182"/>
      <c r="B700" s="177" t="s">
        <v>150</v>
      </c>
      <c r="C700" s="178">
        <f>C394+C235</f>
        <v>3.5</v>
      </c>
      <c r="D700" s="178">
        <f>D235*C235+D394*C394</f>
        <v>8120</v>
      </c>
      <c r="E700" s="420">
        <v>7.8</v>
      </c>
      <c r="F700" s="178">
        <f aca="true" t="shared" si="98" ref="F700:P700">F394+F235</f>
        <v>2360.6</v>
      </c>
      <c r="G700" s="178">
        <f t="shared" si="98"/>
        <v>0</v>
      </c>
      <c r="H700" s="178">
        <f t="shared" si="98"/>
        <v>0</v>
      </c>
      <c r="I700" s="178">
        <f t="shared" si="98"/>
        <v>812</v>
      </c>
      <c r="J700" s="178">
        <f t="shared" si="98"/>
        <v>0</v>
      </c>
      <c r="K700" s="178">
        <f t="shared" si="98"/>
        <v>0</v>
      </c>
      <c r="L700" s="178">
        <f t="shared" si="98"/>
        <v>0</v>
      </c>
      <c r="M700" s="178">
        <f t="shared" si="98"/>
        <v>0</v>
      </c>
      <c r="N700" s="178">
        <f t="shared" si="98"/>
        <v>0</v>
      </c>
      <c r="O700" s="178">
        <f t="shared" si="98"/>
        <v>11292.6</v>
      </c>
      <c r="P700" s="178">
        <f t="shared" si="98"/>
        <v>25</v>
      </c>
      <c r="Q700" s="25">
        <f t="shared" si="57"/>
        <v>11317.6</v>
      </c>
      <c r="R700" s="179">
        <f>R235+R394</f>
        <v>135511.2</v>
      </c>
    </row>
    <row r="701" spans="1:18" ht="31.5" customHeight="1" hidden="1">
      <c r="A701" s="182">
        <v>24</v>
      </c>
      <c r="B701" s="180" t="s">
        <v>217</v>
      </c>
      <c r="C701" s="179">
        <f>C240+C399</f>
        <v>16.9</v>
      </c>
      <c r="D701" s="179">
        <f>D240*C240+D399*C399</f>
        <v>39208</v>
      </c>
      <c r="E701" s="420">
        <v>6</v>
      </c>
      <c r="F701" s="179">
        <f aca="true" t="shared" si="99" ref="F701:P701">F590+F525+F240+F399</f>
        <v>0</v>
      </c>
      <c r="G701" s="179">
        <f t="shared" si="99"/>
        <v>0</v>
      </c>
      <c r="H701" s="179">
        <f t="shared" si="99"/>
        <v>0</v>
      </c>
      <c r="I701" s="179">
        <f t="shared" si="99"/>
        <v>0</v>
      </c>
      <c r="J701" s="179">
        <f t="shared" si="99"/>
        <v>0</v>
      </c>
      <c r="K701" s="179">
        <f t="shared" si="99"/>
        <v>0</v>
      </c>
      <c r="L701" s="179">
        <f t="shared" si="99"/>
        <v>0</v>
      </c>
      <c r="M701" s="179">
        <f t="shared" si="99"/>
        <v>0</v>
      </c>
      <c r="N701" s="179">
        <f t="shared" si="99"/>
        <v>0</v>
      </c>
      <c r="O701" s="179">
        <f t="shared" si="99"/>
        <v>43848</v>
      </c>
      <c r="P701" s="179">
        <f t="shared" si="99"/>
        <v>16632</v>
      </c>
      <c r="Q701" s="25">
        <f t="shared" si="57"/>
        <v>55840</v>
      </c>
      <c r="R701" s="179">
        <f>R399+R240</f>
        <v>470496</v>
      </c>
    </row>
    <row r="702" spans="1:18" ht="31.5" customHeight="1" hidden="1">
      <c r="A702" s="182">
        <v>25</v>
      </c>
      <c r="B702" s="180" t="s">
        <v>218</v>
      </c>
      <c r="C702" s="179">
        <f>C241+C400</f>
        <v>9.25</v>
      </c>
      <c r="D702" s="179">
        <f>D400*C400+D241*C241</f>
        <v>21460</v>
      </c>
      <c r="E702" s="420">
        <v>6</v>
      </c>
      <c r="F702" s="179">
        <f aca="true" t="shared" si="100" ref="F702:P702">F241+F400</f>
        <v>0</v>
      </c>
      <c r="G702" s="179">
        <f t="shared" si="100"/>
        <v>0</v>
      </c>
      <c r="H702" s="179">
        <f t="shared" si="100"/>
        <v>0</v>
      </c>
      <c r="I702" s="179">
        <f t="shared" si="100"/>
        <v>0</v>
      </c>
      <c r="J702" s="179">
        <f t="shared" si="100"/>
        <v>0</v>
      </c>
      <c r="K702" s="179">
        <f t="shared" si="100"/>
        <v>0</v>
      </c>
      <c r="L702" s="179">
        <f t="shared" si="100"/>
        <v>0</v>
      </c>
      <c r="M702" s="179">
        <f t="shared" si="100"/>
        <v>0</v>
      </c>
      <c r="N702" s="179">
        <f t="shared" si="100"/>
        <v>0</v>
      </c>
      <c r="O702" s="179">
        <f t="shared" si="100"/>
        <v>21460</v>
      </c>
      <c r="P702" s="179">
        <f t="shared" si="100"/>
        <v>8140</v>
      </c>
      <c r="Q702" s="25">
        <f t="shared" si="57"/>
        <v>29600</v>
      </c>
      <c r="R702" s="179">
        <f>R400+R241</f>
        <v>257520</v>
      </c>
    </row>
    <row r="703" spans="1:18" ht="31.5" customHeight="1" hidden="1">
      <c r="A703" s="182">
        <v>26</v>
      </c>
      <c r="B703" s="180" t="s">
        <v>219</v>
      </c>
      <c r="C703" s="178">
        <f>C245+C404</f>
        <v>4</v>
      </c>
      <c r="D703" s="178">
        <f>D245*C245+D404*C404</f>
        <v>6976</v>
      </c>
      <c r="E703" s="420">
        <v>2</v>
      </c>
      <c r="F703" s="178">
        <f aca="true" t="shared" si="101" ref="F703:P703">F245+F404</f>
        <v>0</v>
      </c>
      <c r="G703" s="178">
        <f t="shared" si="101"/>
        <v>0</v>
      </c>
      <c r="H703" s="178">
        <f t="shared" si="101"/>
        <v>0</v>
      </c>
      <c r="I703" s="178">
        <f t="shared" si="101"/>
        <v>0</v>
      </c>
      <c r="J703" s="178">
        <f t="shared" si="101"/>
        <v>0</v>
      </c>
      <c r="K703" s="178">
        <f t="shared" si="101"/>
        <v>837.1199999999999</v>
      </c>
      <c r="L703" s="178">
        <f t="shared" si="101"/>
        <v>0</v>
      </c>
      <c r="M703" s="178">
        <f t="shared" si="101"/>
        <v>0</v>
      </c>
      <c r="N703" s="178">
        <f t="shared" si="101"/>
        <v>0</v>
      </c>
      <c r="O703" s="178">
        <f t="shared" si="101"/>
        <v>7813.12</v>
      </c>
      <c r="P703" s="178">
        <f t="shared" si="101"/>
        <v>4986.88</v>
      </c>
      <c r="Q703" s="25">
        <f t="shared" si="57"/>
        <v>12800</v>
      </c>
      <c r="R703" s="179">
        <f>R404+R245</f>
        <v>93757.44</v>
      </c>
    </row>
    <row r="704" spans="1:24" ht="17.25" customHeight="1" hidden="1">
      <c r="A704" s="182">
        <v>27</v>
      </c>
      <c r="B704" s="177" t="s">
        <v>31</v>
      </c>
      <c r="C704" s="178">
        <f>C249+C408</f>
        <v>1.5</v>
      </c>
      <c r="D704" s="178">
        <f>D249+D408*C408</f>
        <v>2616</v>
      </c>
      <c r="E704" s="420">
        <v>2</v>
      </c>
      <c r="F704" s="178">
        <f aca="true" t="shared" si="102" ref="F704:P704">F249+F408</f>
        <v>0</v>
      </c>
      <c r="G704" s="178">
        <f t="shared" si="102"/>
        <v>0</v>
      </c>
      <c r="H704" s="178">
        <f t="shared" si="102"/>
        <v>0</v>
      </c>
      <c r="I704" s="178">
        <f t="shared" si="102"/>
        <v>0</v>
      </c>
      <c r="J704" s="178">
        <f t="shared" si="102"/>
        <v>0</v>
      </c>
      <c r="K704" s="178">
        <f t="shared" si="102"/>
        <v>0</v>
      </c>
      <c r="L704" s="178">
        <f t="shared" si="102"/>
        <v>0</v>
      </c>
      <c r="M704" s="178">
        <f t="shared" si="102"/>
        <v>0</v>
      </c>
      <c r="N704" s="178">
        <f t="shared" si="102"/>
        <v>0</v>
      </c>
      <c r="O704" s="178">
        <f t="shared" si="102"/>
        <v>2616</v>
      </c>
      <c r="P704" s="178">
        <f t="shared" si="102"/>
        <v>2184</v>
      </c>
      <c r="Q704" s="25">
        <f t="shared" si="57"/>
        <v>4800</v>
      </c>
      <c r="R704" s="179">
        <f>R408+R249</f>
        <v>31392</v>
      </c>
      <c r="X704" s="3">
        <f>O656/C656*0.5+O671/C671*0.5+O672/C672*2.75+O675/C675*2+O676/C676+O692+O693+O695+O696+O697+O698+O699+O701+O702+O703</f>
        <v>305615.1877693182</v>
      </c>
    </row>
    <row r="705" spans="1:18" ht="15" hidden="1">
      <c r="A705" s="182"/>
      <c r="B705" s="181" t="s">
        <v>30</v>
      </c>
      <c r="C705" s="179">
        <f>C246+C405</f>
        <v>2</v>
      </c>
      <c r="D705" s="179">
        <f>D405+D246</f>
        <v>3200</v>
      </c>
      <c r="E705" s="420">
        <v>1</v>
      </c>
      <c r="F705" s="179">
        <f aca="true" t="shared" si="103" ref="F705:P705">F246+F405</f>
        <v>0</v>
      </c>
      <c r="G705" s="179">
        <f t="shared" si="103"/>
        <v>0</v>
      </c>
      <c r="H705" s="179">
        <f t="shared" si="103"/>
        <v>0</v>
      </c>
      <c r="I705" s="179">
        <f t="shared" si="103"/>
        <v>0</v>
      </c>
      <c r="J705" s="179">
        <f t="shared" si="103"/>
        <v>0</v>
      </c>
      <c r="K705" s="179">
        <f t="shared" si="103"/>
        <v>0</v>
      </c>
      <c r="L705" s="179">
        <f t="shared" si="103"/>
        <v>0</v>
      </c>
      <c r="M705" s="179">
        <f t="shared" si="103"/>
        <v>0</v>
      </c>
      <c r="N705" s="179">
        <f t="shared" si="103"/>
        <v>0</v>
      </c>
      <c r="O705" s="179">
        <f t="shared" si="103"/>
        <v>3200</v>
      </c>
      <c r="P705" s="179">
        <f t="shared" si="103"/>
        <v>3200</v>
      </c>
      <c r="Q705" s="25">
        <f t="shared" si="57"/>
        <v>6400</v>
      </c>
      <c r="R705" s="179">
        <f>R405+R246</f>
        <v>38400</v>
      </c>
    </row>
    <row r="706" spans="1:18" ht="15" hidden="1">
      <c r="A706" s="189"/>
      <c r="B706" s="187" t="s">
        <v>294</v>
      </c>
      <c r="C706" s="188">
        <f>C250+C409</f>
        <v>2</v>
      </c>
      <c r="D706" s="188">
        <f>D250*C250+D409*C409</f>
        <v>3488</v>
      </c>
      <c r="E706" s="421">
        <v>2</v>
      </c>
      <c r="F706" s="188">
        <f aca="true" t="shared" si="104" ref="F706:P706">F250+F409</f>
        <v>0</v>
      </c>
      <c r="G706" s="188">
        <f t="shared" si="104"/>
        <v>0</v>
      </c>
      <c r="H706" s="188">
        <f t="shared" si="104"/>
        <v>0</v>
      </c>
      <c r="I706" s="188">
        <f t="shared" si="104"/>
        <v>0</v>
      </c>
      <c r="J706" s="188">
        <f t="shared" si="104"/>
        <v>0</v>
      </c>
      <c r="K706" s="188">
        <f t="shared" si="104"/>
        <v>0</v>
      </c>
      <c r="L706" s="188">
        <f t="shared" si="104"/>
        <v>0</v>
      </c>
      <c r="M706" s="188">
        <f t="shared" si="104"/>
        <v>0</v>
      </c>
      <c r="N706" s="188">
        <f t="shared" si="104"/>
        <v>0</v>
      </c>
      <c r="O706" s="188">
        <f t="shared" si="104"/>
        <v>3488</v>
      </c>
      <c r="P706" s="188">
        <f t="shared" si="104"/>
        <v>2912</v>
      </c>
      <c r="Q706" s="25">
        <f t="shared" si="57"/>
        <v>6400</v>
      </c>
      <c r="R706" s="188">
        <f>R409+R250</f>
        <v>41856</v>
      </c>
    </row>
    <row r="707" spans="1:18" ht="15" hidden="1">
      <c r="A707" s="182"/>
      <c r="B707" s="181" t="s">
        <v>25</v>
      </c>
      <c r="C707" s="179">
        <f>C242+C401</f>
        <v>6</v>
      </c>
      <c r="D707" s="179">
        <f>D242*C242+D401*C401</f>
        <v>13056</v>
      </c>
      <c r="E707" s="420">
        <v>5</v>
      </c>
      <c r="F707" s="179">
        <f aca="true" t="shared" si="105" ref="F707:P707">F242+F401</f>
        <v>0</v>
      </c>
      <c r="G707" s="179">
        <f t="shared" si="105"/>
        <v>0</v>
      </c>
      <c r="H707" s="179">
        <f t="shared" si="105"/>
        <v>0</v>
      </c>
      <c r="I707" s="179">
        <f t="shared" si="105"/>
        <v>0</v>
      </c>
      <c r="J707" s="179">
        <f t="shared" si="105"/>
        <v>0</v>
      </c>
      <c r="K707" s="179">
        <f t="shared" si="105"/>
        <v>1566.72</v>
      </c>
      <c r="L707" s="179">
        <f t="shared" si="105"/>
        <v>0</v>
      </c>
      <c r="M707" s="179">
        <f t="shared" si="105"/>
        <v>0</v>
      </c>
      <c r="N707" s="179">
        <f t="shared" si="105"/>
        <v>1958.3999999999999</v>
      </c>
      <c r="O707" s="179">
        <f t="shared" si="105"/>
        <v>16581.12</v>
      </c>
      <c r="P707" s="179">
        <f t="shared" si="105"/>
        <v>4577.280000000001</v>
      </c>
      <c r="Q707" s="25">
        <f t="shared" si="57"/>
        <v>21158.4</v>
      </c>
      <c r="R707" s="179">
        <f>R401+R242</f>
        <v>198973.44</v>
      </c>
    </row>
    <row r="708" spans="1:18" ht="15.75" hidden="1" thickBot="1">
      <c r="A708" s="183"/>
      <c r="B708" s="190" t="s">
        <v>151</v>
      </c>
      <c r="C708" s="191">
        <f>C243+C402</f>
        <v>2.5</v>
      </c>
      <c r="D708" s="191">
        <f>D243*C243+D402*C402</f>
        <v>4000</v>
      </c>
      <c r="E708" s="422">
        <v>1</v>
      </c>
      <c r="F708" s="191">
        <f aca="true" t="shared" si="106" ref="F708:P708">F243+F402</f>
        <v>0</v>
      </c>
      <c r="G708" s="191">
        <f t="shared" si="106"/>
        <v>0</v>
      </c>
      <c r="H708" s="191">
        <f t="shared" si="106"/>
        <v>0</v>
      </c>
      <c r="I708" s="191">
        <f t="shared" si="106"/>
        <v>0</v>
      </c>
      <c r="J708" s="191">
        <f t="shared" si="106"/>
        <v>0</v>
      </c>
      <c r="K708" s="191">
        <f t="shared" si="106"/>
        <v>480</v>
      </c>
      <c r="L708" s="191">
        <f t="shared" si="106"/>
        <v>0</v>
      </c>
      <c r="M708" s="191">
        <f t="shared" si="106"/>
        <v>0</v>
      </c>
      <c r="N708" s="191">
        <f t="shared" si="106"/>
        <v>600</v>
      </c>
      <c r="O708" s="191">
        <f t="shared" si="106"/>
        <v>5080</v>
      </c>
      <c r="P708" s="191">
        <f t="shared" si="106"/>
        <v>3520</v>
      </c>
      <c r="Q708" s="25">
        <f t="shared" si="57"/>
        <v>8600</v>
      </c>
      <c r="R708" s="179">
        <f>R402+R243</f>
        <v>60960</v>
      </c>
    </row>
    <row r="709" spans="1:18" ht="15" hidden="1">
      <c r="A709" s="189"/>
      <c r="B709" s="181" t="s">
        <v>27</v>
      </c>
      <c r="C709" s="179">
        <f>C406+C247</f>
        <v>7.25</v>
      </c>
      <c r="D709" s="179">
        <f>D406*C406+D247*C247</f>
        <v>12644</v>
      </c>
      <c r="E709" s="420">
        <f aca="true" t="shared" si="107" ref="E709:P709">E406+E247</f>
        <v>4</v>
      </c>
      <c r="F709" s="179">
        <f t="shared" si="107"/>
        <v>0</v>
      </c>
      <c r="G709" s="179">
        <f t="shared" si="107"/>
        <v>0</v>
      </c>
      <c r="H709" s="179">
        <f t="shared" si="107"/>
        <v>0</v>
      </c>
      <c r="I709" s="179">
        <f t="shared" si="107"/>
        <v>0</v>
      </c>
      <c r="J709" s="179">
        <f t="shared" si="107"/>
        <v>0</v>
      </c>
      <c r="K709" s="179">
        <f t="shared" si="107"/>
        <v>0</v>
      </c>
      <c r="L709" s="179">
        <f t="shared" si="107"/>
        <v>0</v>
      </c>
      <c r="M709" s="179">
        <f t="shared" si="107"/>
        <v>5057.6</v>
      </c>
      <c r="N709" s="179">
        <f t="shared" si="107"/>
        <v>0</v>
      </c>
      <c r="O709" s="179">
        <f t="shared" si="107"/>
        <v>17701.6</v>
      </c>
      <c r="P709" s="179">
        <f t="shared" si="107"/>
        <v>10556</v>
      </c>
      <c r="Q709" s="25">
        <f t="shared" si="57"/>
        <v>28257.6</v>
      </c>
      <c r="R709" s="179">
        <f>R406+R247</f>
        <v>212419.2</v>
      </c>
    </row>
    <row r="710" spans="1:18" ht="30" hidden="1">
      <c r="A710" s="189"/>
      <c r="B710" s="192" t="s">
        <v>79</v>
      </c>
      <c r="C710" s="179">
        <f>C407+C248</f>
        <v>1.5</v>
      </c>
      <c r="D710" s="179">
        <f>D248*C248+D407*C407</f>
        <v>2616</v>
      </c>
      <c r="E710" s="420">
        <f aca="true" t="shared" si="108" ref="E710:P710">E407+E248</f>
        <v>4</v>
      </c>
      <c r="F710" s="179">
        <f t="shared" si="108"/>
        <v>0</v>
      </c>
      <c r="G710" s="179">
        <f t="shared" si="108"/>
        <v>0</v>
      </c>
      <c r="H710" s="179">
        <f t="shared" si="108"/>
        <v>0</v>
      </c>
      <c r="I710" s="179">
        <f t="shared" si="108"/>
        <v>0</v>
      </c>
      <c r="J710" s="179">
        <f t="shared" si="108"/>
        <v>0</v>
      </c>
      <c r="K710" s="179">
        <f t="shared" si="108"/>
        <v>0</v>
      </c>
      <c r="L710" s="179">
        <f t="shared" si="108"/>
        <v>348.8</v>
      </c>
      <c r="M710" s="179">
        <f t="shared" si="108"/>
        <v>0</v>
      </c>
      <c r="N710" s="179">
        <f t="shared" si="108"/>
        <v>0</v>
      </c>
      <c r="O710" s="179">
        <f t="shared" si="108"/>
        <v>2964.8</v>
      </c>
      <c r="P710" s="179">
        <f t="shared" si="108"/>
        <v>2184</v>
      </c>
      <c r="Q710" s="25">
        <f t="shared" si="57"/>
        <v>5148.8</v>
      </c>
      <c r="R710" s="179">
        <f>R407+R248</f>
        <v>35577.600000000006</v>
      </c>
    </row>
    <row r="711" spans="1:18" ht="50.25" customHeight="1" hidden="1" thickBot="1">
      <c r="A711" s="189"/>
      <c r="B711" s="449" t="s">
        <v>182</v>
      </c>
      <c r="C711" s="188">
        <f>C403+C244</f>
        <v>2.5</v>
      </c>
      <c r="D711" s="188">
        <f>D403*C403+D244*C244</f>
        <v>5080</v>
      </c>
      <c r="E711" s="421">
        <v>4</v>
      </c>
      <c r="F711" s="188">
        <f aca="true" t="shared" si="109" ref="F711:P711">F403+F244</f>
        <v>0</v>
      </c>
      <c r="G711" s="188">
        <f t="shared" si="109"/>
        <v>0</v>
      </c>
      <c r="H711" s="188">
        <f t="shared" si="109"/>
        <v>0</v>
      </c>
      <c r="I711" s="188">
        <f t="shared" si="109"/>
        <v>0</v>
      </c>
      <c r="J711" s="188">
        <f t="shared" si="109"/>
        <v>0</v>
      </c>
      <c r="K711" s="188">
        <f t="shared" si="109"/>
        <v>0</v>
      </c>
      <c r="L711" s="188">
        <f t="shared" si="109"/>
        <v>0</v>
      </c>
      <c r="M711" s="188">
        <f t="shared" si="109"/>
        <v>0</v>
      </c>
      <c r="N711" s="188">
        <f t="shared" si="109"/>
        <v>0</v>
      </c>
      <c r="O711" s="188">
        <f t="shared" si="109"/>
        <v>5080</v>
      </c>
      <c r="P711" s="188">
        <f t="shared" si="109"/>
        <v>2920</v>
      </c>
      <c r="Q711" s="450">
        <f t="shared" si="57"/>
        <v>8000</v>
      </c>
      <c r="R711" s="188">
        <f>R403+R244</f>
        <v>60960</v>
      </c>
    </row>
    <row r="712" spans="1:18" ht="32.25" customHeight="1" hidden="1">
      <c r="A712" s="451"/>
      <c r="B712" s="452" t="s">
        <v>374</v>
      </c>
      <c r="C712" s="453">
        <f>C296+C374</f>
        <v>4</v>
      </c>
      <c r="D712" s="453">
        <f aca="true" t="shared" si="110" ref="D712:R712">D296+D374</f>
        <v>7744</v>
      </c>
      <c r="E712" s="453">
        <f t="shared" si="110"/>
        <v>28</v>
      </c>
      <c r="F712" s="453">
        <f t="shared" si="110"/>
        <v>1936.0000000000002</v>
      </c>
      <c r="G712" s="453">
        <f t="shared" si="110"/>
        <v>968</v>
      </c>
      <c r="H712" s="453">
        <f t="shared" si="110"/>
        <v>2904</v>
      </c>
      <c r="I712" s="453">
        <f t="shared" si="110"/>
        <v>968</v>
      </c>
      <c r="J712" s="453">
        <f t="shared" si="110"/>
        <v>0</v>
      </c>
      <c r="K712" s="453">
        <f t="shared" si="110"/>
        <v>0</v>
      </c>
      <c r="L712" s="453">
        <f t="shared" si="110"/>
        <v>0</v>
      </c>
      <c r="M712" s="453">
        <f t="shared" si="110"/>
        <v>0</v>
      </c>
      <c r="N712" s="453">
        <f t="shared" si="110"/>
        <v>0</v>
      </c>
      <c r="O712" s="453">
        <f t="shared" si="110"/>
        <v>22264</v>
      </c>
      <c r="P712" s="453">
        <f t="shared" si="110"/>
        <v>0</v>
      </c>
      <c r="Q712" s="453">
        <f t="shared" si="110"/>
        <v>22264</v>
      </c>
      <c r="R712" s="453">
        <f t="shared" si="110"/>
        <v>267168</v>
      </c>
    </row>
    <row r="713" spans="1:18" ht="21.75" customHeight="1" hidden="1">
      <c r="A713" s="451"/>
      <c r="B713" s="454" t="s">
        <v>387</v>
      </c>
      <c r="C713" s="84">
        <f>C298</f>
        <v>0.5</v>
      </c>
      <c r="D713" s="84">
        <f aca="true" t="shared" si="111" ref="D713:R713">D298</f>
        <v>3872</v>
      </c>
      <c r="E713" s="84">
        <f t="shared" si="111"/>
        <v>14</v>
      </c>
      <c r="F713" s="84">
        <f t="shared" si="111"/>
        <v>484</v>
      </c>
      <c r="G713" s="84">
        <f t="shared" si="111"/>
        <v>121</v>
      </c>
      <c r="H713" s="84">
        <f t="shared" si="111"/>
        <v>484</v>
      </c>
      <c r="I713" s="84">
        <f t="shared" si="111"/>
        <v>0</v>
      </c>
      <c r="J713" s="84">
        <f t="shared" si="111"/>
        <v>0</v>
      </c>
      <c r="K713" s="84">
        <f t="shared" si="111"/>
        <v>0</v>
      </c>
      <c r="L713" s="84">
        <f t="shared" si="111"/>
        <v>0</v>
      </c>
      <c r="M713" s="84">
        <f t="shared" si="111"/>
        <v>0</v>
      </c>
      <c r="N713" s="84">
        <f t="shared" si="111"/>
        <v>0</v>
      </c>
      <c r="O713" s="84">
        <f t="shared" si="111"/>
        <v>3025</v>
      </c>
      <c r="P713" s="84">
        <f t="shared" si="111"/>
        <v>0</v>
      </c>
      <c r="Q713" s="84">
        <f t="shared" si="111"/>
        <v>3025</v>
      </c>
      <c r="R713" s="455">
        <f t="shared" si="111"/>
        <v>36300</v>
      </c>
    </row>
    <row r="714" spans="1:18" ht="21.75" customHeight="1" hidden="1">
      <c r="A714" s="451"/>
      <c r="B714" s="454" t="s">
        <v>145</v>
      </c>
      <c r="C714" s="84">
        <f>C299</f>
        <v>1</v>
      </c>
      <c r="D714" s="84">
        <f aca="true" t="shared" si="112" ref="D714:R714">D299</f>
        <v>3872</v>
      </c>
      <c r="E714" s="84">
        <f t="shared" si="112"/>
        <v>14</v>
      </c>
      <c r="F714" s="84">
        <f t="shared" si="112"/>
        <v>968</v>
      </c>
      <c r="G714" s="84">
        <f t="shared" si="112"/>
        <v>242</v>
      </c>
      <c r="H714" s="84">
        <f t="shared" si="112"/>
        <v>968</v>
      </c>
      <c r="I714" s="84">
        <f t="shared" si="112"/>
        <v>0</v>
      </c>
      <c r="J714" s="84">
        <f t="shared" si="112"/>
        <v>0</v>
      </c>
      <c r="K714" s="84">
        <f t="shared" si="112"/>
        <v>0</v>
      </c>
      <c r="L714" s="84">
        <f t="shared" si="112"/>
        <v>0</v>
      </c>
      <c r="M714" s="84">
        <f t="shared" si="112"/>
        <v>0</v>
      </c>
      <c r="N714" s="84">
        <f t="shared" si="112"/>
        <v>0</v>
      </c>
      <c r="O714" s="84">
        <f t="shared" si="112"/>
        <v>6050</v>
      </c>
      <c r="P714" s="84">
        <f t="shared" si="112"/>
        <v>0</v>
      </c>
      <c r="Q714" s="84">
        <f t="shared" si="112"/>
        <v>6050</v>
      </c>
      <c r="R714" s="455">
        <f t="shared" si="112"/>
        <v>72600</v>
      </c>
    </row>
    <row r="715" spans="1:18" ht="21.75" customHeight="1" hidden="1">
      <c r="A715" s="451"/>
      <c r="B715" s="454" t="s">
        <v>395</v>
      </c>
      <c r="C715" s="84">
        <f>C371+C317</f>
        <v>5.5</v>
      </c>
      <c r="D715" s="84">
        <f aca="true" t="shared" si="113" ref="D715:R715">D371+D317</f>
        <v>7504</v>
      </c>
      <c r="E715" s="84">
        <f t="shared" si="113"/>
        <v>27</v>
      </c>
      <c r="F715" s="84">
        <f t="shared" si="113"/>
        <v>6222.4</v>
      </c>
      <c r="G715" s="84">
        <f t="shared" si="113"/>
        <v>1271</v>
      </c>
      <c r="H715" s="84">
        <f t="shared" si="113"/>
        <v>3632</v>
      </c>
      <c r="I715" s="84">
        <f t="shared" si="113"/>
        <v>1452</v>
      </c>
      <c r="J715" s="84">
        <f t="shared" si="113"/>
        <v>0</v>
      </c>
      <c r="K715" s="84">
        <f t="shared" si="113"/>
        <v>0</v>
      </c>
      <c r="L715" s="84">
        <f t="shared" si="113"/>
        <v>0</v>
      </c>
      <c r="M715" s="84">
        <f t="shared" si="113"/>
        <v>0</v>
      </c>
      <c r="N715" s="84">
        <f t="shared" si="113"/>
        <v>0</v>
      </c>
      <c r="O715" s="84">
        <f t="shared" si="113"/>
        <v>32913.4</v>
      </c>
      <c r="P715" s="84">
        <f t="shared" si="113"/>
        <v>0</v>
      </c>
      <c r="Q715" s="84">
        <f t="shared" si="113"/>
        <v>32913.4</v>
      </c>
      <c r="R715" s="455">
        <f t="shared" si="113"/>
        <v>394960.8</v>
      </c>
    </row>
    <row r="716" spans="1:18" ht="24.75" customHeight="1" hidden="1" thickBot="1">
      <c r="A716" s="451"/>
      <c r="B716" s="456" t="s">
        <v>388</v>
      </c>
      <c r="C716" s="457">
        <f>C301</f>
        <v>0.5</v>
      </c>
      <c r="D716" s="457">
        <f aca="true" t="shared" si="114" ref="D716:R716">D301</f>
        <v>3152</v>
      </c>
      <c r="E716" s="457">
        <f t="shared" si="114"/>
        <v>11</v>
      </c>
      <c r="F716" s="457">
        <f t="shared" si="114"/>
        <v>394</v>
      </c>
      <c r="G716" s="457">
        <f t="shared" si="114"/>
        <v>98.5</v>
      </c>
      <c r="H716" s="457">
        <f t="shared" si="114"/>
        <v>394</v>
      </c>
      <c r="I716" s="457">
        <f t="shared" si="114"/>
        <v>0</v>
      </c>
      <c r="J716" s="457">
        <f t="shared" si="114"/>
        <v>0</v>
      </c>
      <c r="K716" s="457">
        <f t="shared" si="114"/>
        <v>0</v>
      </c>
      <c r="L716" s="457">
        <f t="shared" si="114"/>
        <v>0</v>
      </c>
      <c r="M716" s="457">
        <f t="shared" si="114"/>
        <v>0</v>
      </c>
      <c r="N716" s="457">
        <f t="shared" si="114"/>
        <v>0</v>
      </c>
      <c r="O716" s="457">
        <f t="shared" si="114"/>
        <v>2462.5</v>
      </c>
      <c r="P716" s="457">
        <f t="shared" si="114"/>
        <v>0</v>
      </c>
      <c r="Q716" s="457">
        <f t="shared" si="114"/>
        <v>2462.5</v>
      </c>
      <c r="R716" s="458">
        <f t="shared" si="114"/>
        <v>29550</v>
      </c>
    </row>
    <row r="717" spans="1:23" ht="15" hidden="1">
      <c r="A717" s="20"/>
      <c r="B717" s="20" t="s">
        <v>15</v>
      </c>
      <c r="C717" s="226">
        <f>SUM(C654:C711)+C712+C713+C714+C715+C716</f>
        <v>390.9</v>
      </c>
      <c r="D717" s="423">
        <f>SUM(D654:D711)</f>
        <v>986289.8</v>
      </c>
      <c r="E717" s="226"/>
      <c r="F717" s="234">
        <f aca="true" t="shared" si="115" ref="F717:R717">SUM(F654:F711)</f>
        <v>109335.60140000001</v>
      </c>
      <c r="G717" s="234">
        <f t="shared" si="115"/>
        <v>23923.038500000002</v>
      </c>
      <c r="H717" s="234">
        <f t="shared" si="115"/>
        <v>4979.2</v>
      </c>
      <c r="I717" s="226">
        <f t="shared" si="115"/>
        <v>12976.17</v>
      </c>
      <c r="J717" s="234">
        <f t="shared" si="115"/>
        <v>3150</v>
      </c>
      <c r="K717" s="234">
        <f t="shared" si="115"/>
        <v>11970.24</v>
      </c>
      <c r="L717" s="234">
        <f t="shared" si="115"/>
        <v>11554</v>
      </c>
      <c r="M717" s="234">
        <f t="shared" si="115"/>
        <v>28894.4</v>
      </c>
      <c r="N717" s="234">
        <f t="shared" si="115"/>
        <v>16595.92</v>
      </c>
      <c r="O717" s="226">
        <f t="shared" si="115"/>
        <v>1201472.3699000005</v>
      </c>
      <c r="P717" s="234">
        <f t="shared" si="115"/>
        <v>298006.12</v>
      </c>
      <c r="Q717" s="226">
        <f t="shared" si="115"/>
        <v>1501314.4899000002</v>
      </c>
      <c r="R717" s="226">
        <f t="shared" si="115"/>
        <v>14070984.614284795</v>
      </c>
      <c r="S717" s="16">
        <f>O38+O98+O159+O251+O321+O410+O464+O529+O593</f>
        <v>0</v>
      </c>
      <c r="W717" s="16">
        <f>SUM(O669:O676)+O666+O667+O701+O702+O703+O704</f>
        <v>434529.52</v>
      </c>
    </row>
    <row r="718" ht="15" hidden="1"/>
    <row r="719" spans="2:18" ht="42.75" customHeight="1" hidden="1">
      <c r="B719" s="110" t="s">
        <v>303</v>
      </c>
      <c r="C719" s="122"/>
      <c r="D719" s="87">
        <f>C38+C98+C159+C251+C321+C410+C464+C529+C593</f>
        <v>397.9</v>
      </c>
      <c r="E719" s="86"/>
      <c r="F719" s="85"/>
      <c r="G719" s="85"/>
      <c r="H719" s="85"/>
      <c r="I719" s="85" t="s">
        <v>129</v>
      </c>
      <c r="J719" s="85"/>
      <c r="K719" s="287"/>
      <c r="L719" s="287"/>
      <c r="M719" s="287"/>
      <c r="N719" s="287"/>
      <c r="O719" s="424"/>
      <c r="P719" s="424"/>
      <c r="Q719" s="424">
        <f>Q38+Q98+Q159+Q251+Q321+Q410+Q464+Q529+Q593</f>
        <v>1565005.5899</v>
      </c>
      <c r="R719" s="83"/>
    </row>
    <row r="720" ht="15" hidden="1">
      <c r="Q720" s="16"/>
    </row>
    <row r="721" spans="4:6" ht="38.25" customHeight="1" hidden="1">
      <c r="D721" s="16"/>
      <c r="F721" s="16"/>
    </row>
    <row r="722" spans="10:18" ht="15" hidden="1">
      <c r="J722" s="195"/>
      <c r="R722" s="16"/>
    </row>
    <row r="723" spans="10:18" ht="15" hidden="1">
      <c r="J723" s="16"/>
      <c r="R723" s="16"/>
    </row>
    <row r="724" spans="2:4" ht="15" hidden="1">
      <c r="B724" s="31" t="s">
        <v>304</v>
      </c>
      <c r="C724" s="31"/>
      <c r="D724" s="33">
        <f>C21+C81+C144+C210+C236+C237+C304+C317+C372+C395+C396+C439+C458+C511+C524+C576+C589</f>
        <v>64.25</v>
      </c>
    </row>
    <row r="725" spans="2:5" ht="15" hidden="1">
      <c r="B725" s="31" t="s">
        <v>305</v>
      </c>
      <c r="C725" s="31"/>
      <c r="D725" s="33">
        <f>C16+C17+C19+C20+C74+C76+C79+C80+C138+C139+C140+C141+C142+C143+C202+C204+C206+C207+C208+C209+C232+C233+C234+C238+C239+C292+C294+C296+C302+C303+C364+C366+C368+C369+C370+C390+C391+C392+C393+C397+C398+C432+C434+C436+C437+C438+C441+C459+C460+C461+C507+C508+C510+C572+C574+C575</f>
        <v>62</v>
      </c>
      <c r="E725" s="193"/>
    </row>
    <row r="726" spans="2:20" ht="15" hidden="1">
      <c r="B726" s="31" t="s">
        <v>306</v>
      </c>
      <c r="C726" s="31"/>
      <c r="D726" s="33">
        <f>C22+C23+C24+C25+C26+C82+C83+C84+C85+C86+C145+C146+C147+C148+C157+C211+C212+C213+C214+C215+C216+C235+C305+C306+C307+C308+C309+C373+C374+C375+C376+C377+C378+C394+C440+C443+C444+C445+C446+C509+C513+C514+C515+C526+C577+C578+C579+C580+C588</f>
        <v>39.5</v>
      </c>
      <c r="I726" s="16"/>
      <c r="J726" s="16"/>
      <c r="T726" s="16"/>
    </row>
    <row r="727" spans="2:4" ht="15" hidden="1">
      <c r="B727" s="31" t="s">
        <v>82</v>
      </c>
      <c r="C727" s="31"/>
      <c r="D727" s="33">
        <f>C27+C28+C29+C30+C31+C33+C34+C35+C87+C88+C89+C90+C91+C92+C94+C95+C96+C149+C150+C151+C152+C153+C154+C155+C158+C217+C218+C219+C220+C222+C223+C224+C225+C240+C241+C242+C243+C244+C245+C246+C247+C248+C249+C250+C310+C311+C312+C313+C315+C316+C318+C319+C379+C380+C381+C382+C383+C384+C385+C386+C387+C388+C399+C400+C401+C402+C403+C404+C405+C406+C407+C408+C409+C447+C448+C449+C450+C451+C453+C454+C455+C456+C457+C517+C518+C519+C520+C521+C522+C523+C525+C527+C528+C581+C582+C583+C584+C585+C586+C587+C590+C591+C592</f>
        <v>221.15</v>
      </c>
    </row>
    <row r="728" spans="2:20" ht="15" hidden="1">
      <c r="B728" s="31" t="s">
        <v>64</v>
      </c>
      <c r="C728" s="31"/>
      <c r="D728" s="33">
        <f>SUM(D724:D727)</f>
        <v>386.9</v>
      </c>
      <c r="K728" s="16"/>
      <c r="R728" s="16"/>
      <c r="T728" s="16"/>
    </row>
    <row r="729" spans="11:18" ht="15" hidden="1">
      <c r="K729" s="16"/>
      <c r="R729" s="16"/>
    </row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82" ht="15" hidden="1">
      <c r="B782" s="16">
        <f>C38+C98+C159+C251+C321+C410+C464+C529+C593</f>
        <v>397.9</v>
      </c>
    </row>
  </sheetData>
  <sheetProtection/>
  <mergeCells count="174">
    <mergeCell ref="B282:I282"/>
    <mergeCell ref="A197:A199"/>
    <mergeCell ref="F197:I197"/>
    <mergeCell ref="H198:H201"/>
    <mergeCell ref="L198:L201"/>
    <mergeCell ref="B354:K354"/>
    <mergeCell ref="F288:F291"/>
    <mergeCell ref="L287:N287"/>
    <mergeCell ref="N198:N201"/>
    <mergeCell ref="M428:M431"/>
    <mergeCell ref="B128:H128"/>
    <mergeCell ref="D197:D201"/>
    <mergeCell ref="E197:E201"/>
    <mergeCell ref="A192:L192"/>
    <mergeCell ref="A165:R165"/>
    <mergeCell ref="D287:D291"/>
    <mergeCell ref="M134:M137"/>
    <mergeCell ref="G134:G137"/>
    <mergeCell ref="I134:I137"/>
    <mergeCell ref="A133:A135"/>
    <mergeCell ref="D133:D137"/>
    <mergeCell ref="M198:M201"/>
    <mergeCell ref="A257:R257"/>
    <mergeCell ref="E133:E137"/>
    <mergeCell ref="F198:F201"/>
    <mergeCell ref="G198:G201"/>
    <mergeCell ref="G568:G571"/>
    <mergeCell ref="M568:M571"/>
    <mergeCell ref="A287:A289"/>
    <mergeCell ref="F359:I359"/>
    <mergeCell ref="G360:G363"/>
    <mergeCell ref="A359:A361"/>
    <mergeCell ref="B422:J422"/>
    <mergeCell ref="D427:D431"/>
    <mergeCell ref="E287:E291"/>
    <mergeCell ref="G428:G431"/>
    <mergeCell ref="E615:F615"/>
    <mergeCell ref="K615:U615"/>
    <mergeCell ref="G623:G626"/>
    <mergeCell ref="F503:F506"/>
    <mergeCell ref="L428:L431"/>
    <mergeCell ref="L503:L506"/>
    <mergeCell ref="K428:K431"/>
    <mergeCell ref="N503:N506"/>
    <mergeCell ref="B562:G562"/>
    <mergeCell ref="N428:N431"/>
    <mergeCell ref="D567:D571"/>
    <mergeCell ref="E567:E571"/>
    <mergeCell ref="H360:H363"/>
    <mergeCell ref="I428:I431"/>
    <mergeCell ref="F360:F363"/>
    <mergeCell ref="I568:I571"/>
    <mergeCell ref="G503:G506"/>
    <mergeCell ref="H503:H506"/>
    <mergeCell ref="I503:I506"/>
    <mergeCell ref="H568:H571"/>
    <mergeCell ref="M503:M506"/>
    <mergeCell ref="F502:I502"/>
    <mergeCell ref="E427:E431"/>
    <mergeCell ref="L568:L571"/>
    <mergeCell ref="A427:A429"/>
    <mergeCell ref="F427:I427"/>
    <mergeCell ref="K568:K571"/>
    <mergeCell ref="A567:A569"/>
    <mergeCell ref="F567:G567"/>
    <mergeCell ref="H428:H431"/>
    <mergeCell ref="A502:A504"/>
    <mergeCell ref="D502:D506"/>
    <mergeCell ref="I288:I291"/>
    <mergeCell ref="E359:E363"/>
    <mergeCell ref="G288:G291"/>
    <mergeCell ref="F428:F431"/>
    <mergeCell ref="A329:R329"/>
    <mergeCell ref="A415:R415"/>
    <mergeCell ref="N288:N291"/>
    <mergeCell ref="J428:J431"/>
    <mergeCell ref="D359:D363"/>
    <mergeCell ref="F287:I287"/>
    <mergeCell ref="K503:K506"/>
    <mergeCell ref="I360:I363"/>
    <mergeCell ref="E293:E294"/>
    <mergeCell ref="J288:J291"/>
    <mergeCell ref="K288:K291"/>
    <mergeCell ref="H288:H291"/>
    <mergeCell ref="E502:E506"/>
    <mergeCell ref="J503:J506"/>
    <mergeCell ref="L360:L363"/>
    <mergeCell ref="L288:L291"/>
    <mergeCell ref="M288:M291"/>
    <mergeCell ref="A105:R105"/>
    <mergeCell ref="N70:N73"/>
    <mergeCell ref="H70:H73"/>
    <mergeCell ref="I70:I73"/>
    <mergeCell ref="L134:L137"/>
    <mergeCell ref="A69:A71"/>
    <mergeCell ref="F69:K69"/>
    <mergeCell ref="B497:K497"/>
    <mergeCell ref="K360:K363"/>
    <mergeCell ref="L70:L73"/>
    <mergeCell ref="N134:N137"/>
    <mergeCell ref="F133:K133"/>
    <mergeCell ref="F134:F137"/>
    <mergeCell ref="H134:H137"/>
    <mergeCell ref="J134:J137"/>
    <mergeCell ref="K134:K137"/>
    <mergeCell ref="M70:M73"/>
    <mergeCell ref="F70:F73"/>
    <mergeCell ref="E75:E76"/>
    <mergeCell ref="G70:G73"/>
    <mergeCell ref="K70:K73"/>
    <mergeCell ref="E69:E73"/>
    <mergeCell ref="J70:J73"/>
    <mergeCell ref="K650:K653"/>
    <mergeCell ref="L650:L653"/>
    <mergeCell ref="M650:M653"/>
    <mergeCell ref="N650:N653"/>
    <mergeCell ref="B64:G64"/>
    <mergeCell ref="M12:M15"/>
    <mergeCell ref="A43:R43"/>
    <mergeCell ref="N12:N15"/>
    <mergeCell ref="J12:J15"/>
    <mergeCell ref="I12:I15"/>
    <mergeCell ref="C1:L1"/>
    <mergeCell ref="L12:L15"/>
    <mergeCell ref="B6:G6"/>
    <mergeCell ref="F12:F15"/>
    <mergeCell ref="K12:K15"/>
    <mergeCell ref="G12:G15"/>
    <mergeCell ref="H12:H15"/>
    <mergeCell ref="F11:K11"/>
    <mergeCell ref="A649:A651"/>
    <mergeCell ref="D649:E653"/>
    <mergeCell ref="F649:I649"/>
    <mergeCell ref="F650:F653"/>
    <mergeCell ref="G650:G653"/>
    <mergeCell ref="H650:H653"/>
    <mergeCell ref="I650:I653"/>
    <mergeCell ref="P287:P291"/>
    <mergeCell ref="Q287:Q291"/>
    <mergeCell ref="A11:A13"/>
    <mergeCell ref="D11:D15"/>
    <mergeCell ref="E11:E15"/>
    <mergeCell ref="I198:I201"/>
    <mergeCell ref="K198:K201"/>
    <mergeCell ref="P11:P15"/>
    <mergeCell ref="D69:D73"/>
    <mergeCell ref="A75:A76"/>
    <mergeCell ref="Q11:Q15"/>
    <mergeCell ref="P69:P73"/>
    <mergeCell ref="Q69:Q73"/>
    <mergeCell ref="P133:P137"/>
    <mergeCell ref="Q133:Q137"/>
    <mergeCell ref="P197:P201"/>
    <mergeCell ref="Q197:Q201"/>
    <mergeCell ref="Q359:Q363"/>
    <mergeCell ref="P649:P653"/>
    <mergeCell ref="Q649:Q653"/>
    <mergeCell ref="P502:P506"/>
    <mergeCell ref="Q502:Q506"/>
    <mergeCell ref="P567:P571"/>
    <mergeCell ref="Q567:Q571"/>
    <mergeCell ref="K632:U632"/>
    <mergeCell ref="A470:R470"/>
    <mergeCell ref="B647:O647"/>
    <mergeCell ref="A535:R535"/>
    <mergeCell ref="A600:R600"/>
    <mergeCell ref="N360:N363"/>
    <mergeCell ref="P427:P431"/>
    <mergeCell ref="Q427:Q431"/>
    <mergeCell ref="M360:M363"/>
    <mergeCell ref="N567:N571"/>
    <mergeCell ref="F568:F571"/>
    <mergeCell ref="J568:J571"/>
    <mergeCell ref="P359:P363"/>
  </mergeCells>
  <printOptions horizontalCentered="1"/>
  <pageMargins left="0" right="0" top="0" bottom="0" header="0" footer="0"/>
  <pageSetup horizontalDpi="600" verticalDpi="600" orientation="portrait" paperSize="9" scale="58" r:id="rId1"/>
  <rowBreaks count="10" manualBreakCount="10">
    <brk id="45" max="15" man="1"/>
    <brk id="117" max="15" man="1"/>
    <brk id="181" max="15" man="1"/>
    <brk id="277" max="15" man="1"/>
    <brk id="349" max="15" man="1"/>
    <brk id="417" max="15" man="1"/>
    <brk id="489" max="15" man="1"/>
    <brk id="554" max="15" man="1"/>
    <brk id="613" max="15" man="1"/>
    <brk id="646" max="15" man="1"/>
  </rowBreaks>
  <colBreaks count="2" manualBreakCount="2">
    <brk id="19" max="715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ПК-05</cp:lastModifiedBy>
  <cp:lastPrinted>2017-08-22T11:28:23Z</cp:lastPrinted>
  <dcterms:created xsi:type="dcterms:W3CDTF">2004-04-30T06:23:17Z</dcterms:created>
  <dcterms:modified xsi:type="dcterms:W3CDTF">2017-09-13T08:19:08Z</dcterms:modified>
  <cp:category/>
  <cp:version/>
  <cp:contentType/>
  <cp:contentStatus/>
</cp:coreProperties>
</file>